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drawings/drawing3.xml" ContentType="application/vnd.openxmlformats-officedocument.drawing+xml"/>
  <Override PartName="/xl/tables/table2.xml" ContentType="application/vnd.openxmlformats-officedocument.spreadsheetml.table+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tables/table3.xml" ContentType="application/vnd.openxmlformats-officedocument.spreadsheetml.table+xml"/>
  <Override PartName="/xl/comments4.xml" ContentType="application/vnd.openxmlformats-officedocument.spreadsheetml.comments+xml"/>
  <Override PartName="/xl/drawings/drawing6.xml" ContentType="application/vnd.openxmlformats-officedocument.drawing+xml"/>
  <Override PartName="/xl/tables/table4.xml" ContentType="application/vnd.openxmlformats-officedocument.spreadsheetml.table+xml"/>
  <Override PartName="/xl/comments5.xml" ContentType="application/vnd.openxmlformats-officedocument.spreadsheetml.comments+xml"/>
  <Override PartName="/xl/drawings/drawing7.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24226"/>
  <mc:AlternateContent xmlns:mc="http://schemas.openxmlformats.org/markup-compatibility/2006">
    <mc:Choice Requires="x15">
      <x15ac:absPath xmlns:x15ac="http://schemas.microsoft.com/office/spreadsheetml/2010/11/ac" url="P:\Projects\Community EE\City Scorecard\2017\Self-Scoring Tool\2017 Self-scoring tool UPDATED\"/>
    </mc:Choice>
  </mc:AlternateContent>
  <workbookProtection workbookAlgorithmName="SHA-512" workbookHashValue="aIbeUNuO4OYvEpSDVy/w2kqK6XOPFSTcDpRjEZoP6otbQbm8mQ15pQBn6MrUeTjt5Qj1EHPtARAw35HdB7qBjA==" workbookSaltValue="4DlOXs68BPqfKK63DsnItQ==" workbookSpinCount="100000" lockStructure="1"/>
  <bookViews>
    <workbookView xWindow="0" yWindow="0" windowWidth="19200" windowHeight="7770" tabRatio="852"/>
  </bookViews>
  <sheets>
    <sheet name="Introduction" sheetId="1" r:id="rId1"/>
    <sheet name="Local government operations" sheetId="2" r:id="rId2"/>
    <sheet name=" Community-wide initiatives" sheetId="3" r:id="rId3"/>
    <sheet name="Buildings policies" sheetId="4" r:id="rId4"/>
    <sheet name="Hidden Sheet" sheetId="9" state="veryHidden" r:id="rId5"/>
    <sheet name="Energy and water utilities" sheetId="5" r:id="rId6"/>
    <sheet name="Transportation policies" sheetId="6" r:id="rId7"/>
    <sheet name="Analysis" sheetId="7" r:id="rId8"/>
    <sheet name="Peer City Scores" sheetId="8" state="veryHidden" r:id="rId9"/>
  </sheets>
  <definedNames>
    <definedName name="Baseline_emissions_energy_use">'Local government operations'!$C$14</definedName>
    <definedName name="EE_Current_emissions">'Local government operations'!$C$18</definedName>
    <definedName name="EE_recent_year_of_emissions">'Local government operations'!$C$17</definedName>
    <definedName name="EE_Total_percent_change">'Local government operations'!$L$11</definedName>
    <definedName name="Emissions_energy_use_in_above_year">'Local government operations'!$C$16</definedName>
    <definedName name="GHG_adoptionyear_emissions">'Local government operations'!$D$16</definedName>
    <definedName name="GHG_Baseline_data">'Local government operations'!$D$14</definedName>
    <definedName name="GHG_emissions_D18">'Local government operations'!$D$18</definedName>
    <definedName name="GHG_recent_year">'Local government operations'!$D$17</definedName>
    <definedName name="GHG_Total_percent_change">'Local government operations'!$L$12</definedName>
    <definedName name="GHG_Yearofadoption">'Local government operations'!$D$15</definedName>
    <definedName name="GHGTarget_percentage">'Local government operations'!$D$13</definedName>
    <definedName name="GHGTargetYear">'Local government operations'!$D$12</definedName>
    <definedName name="Goal_adoption_year_or_most_recent_year_of_available_data">'Local government operations'!$C$15</definedName>
    <definedName name="Nearest_target_year">'Local government operations'!$C$12</definedName>
    <definedName name="_xlnm.Print_Area" localSheetId="1">'Local government operations'!$A$1:$F$74</definedName>
    <definedName name="Reduction_target">'Local government operations'!$C$13</definedName>
    <definedName name="Z_52A26A5D_FD00_480B_943F_DB06B537D6D8_.wvu.PrintArea" localSheetId="1" hidden="1">'Local government operations'!$A$1:$F$74</definedName>
    <definedName name="Z_52A26A5D_FD00_480B_943F_DB06B537D6D8_.wvu.Rows" localSheetId="2" hidden="1">' Community-wide initiatives'!$50:$60,' Community-wide initiatives'!$72:$82</definedName>
    <definedName name="Z_52A26A5D_FD00_480B_943F_DB06B537D6D8_.wvu.Rows" localSheetId="3" hidden="1">'Buildings policies'!$87:$123</definedName>
    <definedName name="Z_52A26A5D_FD00_480B_943F_DB06B537D6D8_.wvu.Rows" localSheetId="5" hidden="1">'Energy and water utilities'!$65:$78,'Energy and water utilities'!$82:$110</definedName>
    <definedName name="Z_52A26A5D_FD00_480B_943F_DB06B537D6D8_.wvu.Rows" localSheetId="1" hidden="1">'Local government operations'!$55:$70,'Local government operations'!$75:$97</definedName>
    <definedName name="Z_52A26A5D_FD00_480B_943F_DB06B537D6D8_.wvu.Rows" localSheetId="6" hidden="1">'Transportation policies'!$57:$61,'Transportation policies'!$66:$102</definedName>
    <definedName name="Z_EF22FA0B_F747_41C1_93DE_56651BBC6020_.wvu.Cols" localSheetId="7" hidden="1">Analysis!$G:$G</definedName>
    <definedName name="Z_EF22FA0B_F747_41C1_93DE_56651BBC6020_.wvu.PrintArea" localSheetId="1" hidden="1">'Local government operations'!$A$1:$F$74</definedName>
    <definedName name="Z_EF22FA0B_F747_41C1_93DE_56651BBC6020_.wvu.Rows" localSheetId="2" hidden="1">' Community-wide initiatives'!$50:$60,' Community-wide initiatives'!$72:$82</definedName>
    <definedName name="Z_EF22FA0B_F747_41C1_93DE_56651BBC6020_.wvu.Rows" localSheetId="3" hidden="1">'Buildings policies'!$87:$123</definedName>
    <definedName name="Z_EF22FA0B_F747_41C1_93DE_56651BBC6020_.wvu.Rows" localSheetId="5" hidden="1">'Energy and water utilities'!$65:$78,'Energy and water utilities'!$82:$110</definedName>
    <definedName name="Z_EF22FA0B_F747_41C1_93DE_56651BBC6020_.wvu.Rows" localSheetId="1" hidden="1">'Local government operations'!$55:$70,'Local government operations'!$75:$97</definedName>
    <definedName name="Z_EF22FA0B_F747_41C1_93DE_56651BBC6020_.wvu.Rows" localSheetId="6" hidden="1">'Transportation policies'!$57:$61,'Transportation policies'!$66:$96,'Transportation policies'!$97:$103</definedName>
  </definedNames>
  <calcPr calcId="162913" iterate="1" iterateDelta="1E-4"/>
  <customWorkbookViews>
    <customWorkbookView name="j" guid="{52A26A5D-FD00-480B-943F-DB06B537D6D8}" maximized="1" xWindow="-8" yWindow="-8" windowWidth="1696" windowHeight="1026" tabRatio="850" activeSheetId="2"/>
    <customWorkbookView name="Elise Marton - Personal View" guid="{EF22FA0B-F747-41C1-93DE-56651BBC6020}" mergeInterval="0" personalView="1" maximized="1" windowWidth="1563" windowHeight="782" tabRatio="852" activeSheetId="4"/>
  </customWorkbookViews>
</workbook>
</file>

<file path=xl/calcChain.xml><?xml version="1.0" encoding="utf-8"?>
<calcChain xmlns="http://schemas.openxmlformats.org/spreadsheetml/2006/main">
  <c r="B3" i="4" l="1"/>
  <c r="B3" i="2"/>
  <c r="B48" i="4" l="1"/>
  <c r="B55" i="4"/>
  <c r="B54" i="4"/>
  <c r="B59" i="4"/>
  <c r="B49" i="4"/>
  <c r="E54" i="4"/>
  <c r="E47" i="4"/>
  <c r="B32" i="5"/>
  <c r="B26" i="5"/>
  <c r="E25" i="5"/>
  <c r="E24" i="5"/>
  <c r="E51" i="4"/>
  <c r="B51" i="4"/>
  <c r="E58" i="4"/>
  <c r="B58" i="4"/>
  <c r="B22" i="4" l="1"/>
  <c r="E35" i="4"/>
  <c r="E34" i="4"/>
  <c r="B47" i="4"/>
  <c r="C23" i="3" l="1"/>
  <c r="B31" i="5" l="1"/>
  <c r="B30" i="5"/>
  <c r="B25" i="5"/>
  <c r="B24" i="5"/>
  <c r="L12" i="3" l="1"/>
  <c r="O12" i="3" s="1"/>
  <c r="C30" i="3" s="1"/>
  <c r="L11" i="3"/>
  <c r="O11" i="3" s="1"/>
  <c r="E31" i="2" l="1"/>
  <c r="E45" i="2"/>
  <c r="E48" i="7" s="1"/>
  <c r="D48" i="7" s="1"/>
  <c r="E18" i="4"/>
  <c r="E19" i="4"/>
  <c r="E20" i="4"/>
  <c r="E21" i="4"/>
  <c r="E22" i="4"/>
  <c r="E23" i="6"/>
  <c r="E24" i="6"/>
  <c r="E25" i="6"/>
  <c r="E35" i="6"/>
  <c r="E36" i="6"/>
  <c r="E38" i="6"/>
  <c r="E105" i="7" s="1"/>
  <c r="D105" i="7" s="1"/>
  <c r="E37" i="6"/>
  <c r="E104" i="7" s="1"/>
  <c r="D104" i="7" s="1"/>
  <c r="E42" i="6"/>
  <c r="E107" i="7" s="1"/>
  <c r="E43" i="6"/>
  <c r="E108" i="7" s="1"/>
  <c r="D108" i="7" s="1"/>
  <c r="E47" i="6"/>
  <c r="E110" i="7" s="1"/>
  <c r="E48" i="6"/>
  <c r="E111" i="7" s="1"/>
  <c r="E49" i="6"/>
  <c r="E112" i="7" s="1"/>
  <c r="D112" i="7" s="1"/>
  <c r="E53" i="6"/>
  <c r="E114" i="7" s="1"/>
  <c r="E54" i="6"/>
  <c r="E115" i="7" s="1"/>
  <c r="D115" i="7" s="1"/>
  <c r="E58" i="6"/>
  <c r="E117" i="7" s="1"/>
  <c r="E29" i="6"/>
  <c r="E99" i="7" s="1"/>
  <c r="E30" i="6"/>
  <c r="E100" i="7" s="1"/>
  <c r="E31" i="6"/>
  <c r="E101" i="7" s="1"/>
  <c r="E22" i="2"/>
  <c r="E23" i="2"/>
  <c r="E21" i="2"/>
  <c r="E29" i="2"/>
  <c r="E30" i="2"/>
  <c r="E28" i="2"/>
  <c r="E38" i="2"/>
  <c r="E37" i="2"/>
  <c r="E40" i="2"/>
  <c r="E39" i="2"/>
  <c r="E35" i="2"/>
  <c r="E36" i="2" s="1"/>
  <c r="E46" i="2"/>
  <c r="E44" i="2"/>
  <c r="E47" i="7" s="1"/>
  <c r="E21" i="3"/>
  <c r="E52" i="7" s="1"/>
  <c r="E22" i="3"/>
  <c r="M22" i="3" s="1"/>
  <c r="E23" i="3"/>
  <c r="E24" i="3"/>
  <c r="E29" i="3"/>
  <c r="E30" i="3"/>
  <c r="E31" i="3"/>
  <c r="E28" i="3"/>
  <c r="E53" i="7" s="1"/>
  <c r="D53" i="7" s="1"/>
  <c r="E38" i="3"/>
  <c r="E39" i="3"/>
  <c r="E45" i="3"/>
  <c r="E61" i="7" s="1"/>
  <c r="D61" i="7" s="1"/>
  <c r="E44" i="3"/>
  <c r="E60" i="7" s="1"/>
  <c r="D60" i="7" s="1"/>
  <c r="E50" i="4"/>
  <c r="E57" i="4"/>
  <c r="B21" i="4"/>
  <c r="E61" i="4"/>
  <c r="E60" i="4"/>
  <c r="E59" i="4"/>
  <c r="E56" i="4"/>
  <c r="E53" i="4"/>
  <c r="E52" i="4"/>
  <c r="B50" i="4"/>
  <c r="E49" i="4"/>
  <c r="E48" i="4"/>
  <c r="E33" i="4"/>
  <c r="E69" i="7"/>
  <c r="E36" i="4"/>
  <c r="E32" i="4"/>
  <c r="E67" i="7" s="1"/>
  <c r="E25" i="4"/>
  <c r="E23" i="4"/>
  <c r="E24" i="4"/>
  <c r="B24" i="4"/>
  <c r="B25" i="4"/>
  <c r="B23" i="4"/>
  <c r="B20" i="4"/>
  <c r="B18" i="4"/>
  <c r="B19" i="4"/>
  <c r="E63" i="5"/>
  <c r="E62" i="5"/>
  <c r="E61" i="5"/>
  <c r="E60" i="5"/>
  <c r="E59" i="5"/>
  <c r="E92" i="7" s="1"/>
  <c r="D92" i="7" s="1"/>
  <c r="E53" i="5"/>
  <c r="E88" i="7" s="1"/>
  <c r="D88" i="7" s="1"/>
  <c r="E54" i="5"/>
  <c r="E89" i="7" s="1"/>
  <c r="D89" i="7" s="1"/>
  <c r="E55" i="5"/>
  <c r="E52" i="5"/>
  <c r="E87" i="7" s="1"/>
  <c r="E43" i="5"/>
  <c r="E44" i="5"/>
  <c r="E45" i="5"/>
  <c r="E46" i="5"/>
  <c r="E47" i="5"/>
  <c r="E48" i="5"/>
  <c r="E42" i="5"/>
  <c r="E41" i="5"/>
  <c r="E37" i="5"/>
  <c r="E36" i="5"/>
  <c r="E32" i="5"/>
  <c r="E31" i="5"/>
  <c r="E30" i="5"/>
  <c r="E26" i="5"/>
  <c r="E24" i="2"/>
  <c r="C30" i="5"/>
  <c r="C24" i="5"/>
  <c r="B29" i="2"/>
  <c r="B30" i="2" s="1"/>
  <c r="B41" i="7"/>
  <c r="L15" i="3"/>
  <c r="C29" i="2"/>
  <c r="C22" i="2"/>
  <c r="L11" i="2"/>
  <c r="O11" i="2" s="1"/>
  <c r="C23" i="2" s="1"/>
  <c r="C29" i="3"/>
  <c r="C22" i="3"/>
  <c r="B56" i="4"/>
  <c r="L12" i="2"/>
  <c r="Q26" i="3"/>
  <c r="Q25" i="3"/>
  <c r="B60" i="4"/>
  <c r="B52" i="4"/>
  <c r="B53" i="4"/>
  <c r="B57" i="4"/>
  <c r="E55" i="4"/>
  <c r="B25" i="6"/>
  <c r="E42" i="4"/>
  <c r="E74" i="7" s="1"/>
  <c r="E41" i="4"/>
  <c r="E73" i="7" s="1"/>
  <c r="E40" i="4"/>
  <c r="E72" i="7" s="1"/>
  <c r="D72" i="7" s="1"/>
  <c r="B70" i="7"/>
  <c r="B69" i="7"/>
  <c r="B68" i="7"/>
  <c r="B67" i="7"/>
  <c r="B36" i="2"/>
  <c r="B38" i="7"/>
  <c r="B22" i="2"/>
  <c r="B28" i="2"/>
  <c r="B31" i="2"/>
  <c r="B24" i="2"/>
  <c r="B23" i="2"/>
  <c r="B21" i="2"/>
  <c r="C31" i="5"/>
  <c r="C42" i="6"/>
  <c r="B105" i="7"/>
  <c r="C62" i="7"/>
  <c r="C59" i="7"/>
  <c r="C57" i="7"/>
  <c r="C36" i="7"/>
  <c r="C51" i="7"/>
  <c r="C25" i="5"/>
  <c r="E43" i="4"/>
  <c r="E75" i="7" s="1"/>
  <c r="B93" i="7"/>
  <c r="C37" i="5"/>
  <c r="E34" i="7"/>
  <c r="K5" i="8" s="1"/>
  <c r="B113" i="7"/>
  <c r="B112" i="7"/>
  <c r="B111" i="7"/>
  <c r="B110" i="7"/>
  <c r="B101" i="7"/>
  <c r="B100" i="7"/>
  <c r="B99" i="7"/>
  <c r="C79" i="7"/>
  <c r="B92" i="7"/>
  <c r="B90" i="7"/>
  <c r="B89" i="7"/>
  <c r="B88" i="7"/>
  <c r="B75" i="7"/>
  <c r="B74" i="7"/>
  <c r="B73" i="7"/>
  <c r="B72" i="7"/>
  <c r="B66" i="7"/>
  <c r="B63" i="7"/>
  <c r="B61" i="7"/>
  <c r="B60" i="7"/>
  <c r="B58" i="7"/>
  <c r="B56" i="7"/>
  <c r="B49" i="7"/>
  <c r="B48" i="7"/>
  <c r="B44" i="7"/>
  <c r="B43" i="7"/>
  <c r="B40" i="7"/>
  <c r="B71" i="7"/>
  <c r="B109" i="7"/>
  <c r="B102" i="7"/>
  <c r="B98" i="7"/>
  <c r="B106" i="7"/>
  <c r="B76" i="7"/>
  <c r="C90" i="8"/>
  <c r="C36" i="5"/>
  <c r="B108" i="7"/>
  <c r="B94" i="7"/>
  <c r="B87" i="7"/>
  <c r="B65" i="7"/>
  <c r="B64" i="7"/>
  <c r="B183" i="9"/>
  <c r="A222" i="9"/>
  <c r="A224" i="9"/>
  <c r="A223" i="9"/>
  <c r="A226" i="9"/>
  <c r="A225" i="9"/>
  <c r="E90" i="7"/>
  <c r="D90" i="7" s="1"/>
  <c r="H90" i="8"/>
  <c r="M26" i="3"/>
  <c r="B185" i="9"/>
  <c r="F90" i="8"/>
  <c r="D90" i="8"/>
  <c r="C50" i="7"/>
  <c r="C35" i="7"/>
  <c r="B10" i="6" l="1"/>
  <c r="E94" i="7"/>
  <c r="E58" i="7"/>
  <c r="B5" i="3"/>
  <c r="P22" i="3"/>
  <c r="E55" i="3"/>
  <c r="K24" i="2"/>
  <c r="L24" i="2"/>
  <c r="E40" i="7" s="1"/>
  <c r="D40" i="7" s="1"/>
  <c r="B9" i="6"/>
  <c r="E109" i="7"/>
  <c r="B8" i="5"/>
  <c r="D59" i="7"/>
  <c r="E51" i="3"/>
  <c r="E59" i="3" s="1"/>
  <c r="Q21" i="3"/>
  <c r="B6" i="2"/>
  <c r="E45" i="7"/>
  <c r="D45" i="7" s="1"/>
  <c r="E103" i="7"/>
  <c r="E102" i="7" s="1"/>
  <c r="B6" i="6"/>
  <c r="E97" i="7"/>
  <c r="D97" i="7" s="1"/>
  <c r="D96" i="7" s="1"/>
  <c r="K28" i="2"/>
  <c r="B5" i="2"/>
  <c r="K22" i="2"/>
  <c r="E116" i="7"/>
  <c r="D117" i="7"/>
  <c r="D116" i="7" s="1"/>
  <c r="D107" i="7"/>
  <c r="D106" i="7" s="1"/>
  <c r="E106" i="7"/>
  <c r="E113" i="7"/>
  <c r="D99" i="7"/>
  <c r="E98" i="7"/>
  <c r="D114" i="7"/>
  <c r="D113" i="7" s="1"/>
  <c r="B8" i="6"/>
  <c r="B7" i="6"/>
  <c r="B5" i="6"/>
  <c r="E62" i="6"/>
  <c r="B4" i="6"/>
  <c r="B3" i="6"/>
  <c r="E55" i="7"/>
  <c r="D55" i="7" s="1"/>
  <c r="M25" i="3"/>
  <c r="M21" i="3"/>
  <c r="E59" i="7"/>
  <c r="B6" i="3"/>
  <c r="E93" i="7"/>
  <c r="D93" i="7" s="1"/>
  <c r="E49" i="7"/>
  <c r="D49" i="7" s="1"/>
  <c r="E44" i="7"/>
  <c r="D44" i="7" s="1"/>
  <c r="K21" i="2"/>
  <c r="B6" i="4"/>
  <c r="D58" i="7"/>
  <c r="D57" i="7" s="1"/>
  <c r="E57" i="7"/>
  <c r="D101" i="7"/>
  <c r="D111" i="7"/>
  <c r="D47" i="7"/>
  <c r="E54" i="7"/>
  <c r="D100" i="7"/>
  <c r="D110" i="7"/>
  <c r="D52" i="7"/>
  <c r="I35" i="2"/>
  <c r="E43" i="7" s="1"/>
  <c r="E67" i="5"/>
  <c r="E79" i="5"/>
  <c r="B3" i="5"/>
  <c r="B4" i="5"/>
  <c r="E81" i="7"/>
  <c r="E82" i="7"/>
  <c r="D82" i="7" s="1"/>
  <c r="B5" i="5"/>
  <c r="B184" i="9"/>
  <c r="E85" i="7"/>
  <c r="D85" i="7" s="1"/>
  <c r="E84" i="7"/>
  <c r="B6" i="5"/>
  <c r="B7" i="5"/>
  <c r="E71" i="5"/>
  <c r="D94" i="7"/>
  <c r="E86" i="7"/>
  <c r="D87" i="7"/>
  <c r="D86" i="7" s="1"/>
  <c r="B26" i="4"/>
  <c r="B5" i="4"/>
  <c r="E68" i="7"/>
  <c r="D68" i="7" s="1"/>
  <c r="D74" i="7"/>
  <c r="D73" i="7"/>
  <c r="E78" i="7"/>
  <c r="B61" i="4"/>
  <c r="B7" i="4"/>
  <c r="E71" i="7"/>
  <c r="D75" i="7"/>
  <c r="K35" i="4"/>
  <c r="E70" i="7" s="1"/>
  <c r="K27" i="2"/>
  <c r="D69" i="7"/>
  <c r="E64" i="7"/>
  <c r="E26" i="4"/>
  <c r="B4" i="4" s="1"/>
  <c r="D67" i="7"/>
  <c r="E77" i="7"/>
  <c r="E65" i="7"/>
  <c r="D65" i="7" s="1"/>
  <c r="O12" i="2"/>
  <c r="C30" i="2" s="1"/>
  <c r="E39" i="7"/>
  <c r="M24" i="3" l="1"/>
  <c r="E56" i="7"/>
  <c r="D56" i="7" s="1"/>
  <c r="E91" i="7"/>
  <c r="D91" i="7"/>
  <c r="E46" i="7"/>
  <c r="D46" i="7"/>
  <c r="D103" i="7"/>
  <c r="D102" i="7" s="1"/>
  <c r="D98" i="7"/>
  <c r="E96" i="7"/>
  <c r="E95" i="7" s="1"/>
  <c r="K10" i="8" s="1"/>
  <c r="E42" i="7"/>
  <c r="K23" i="2"/>
  <c r="K26" i="2" s="1"/>
  <c r="K29" i="2" s="1"/>
  <c r="E38" i="7"/>
  <c r="D38" i="7" s="1"/>
  <c r="E41" i="7"/>
  <c r="D41" i="7" s="1"/>
  <c r="B4" i="3"/>
  <c r="E76" i="5"/>
  <c r="D54" i="7"/>
  <c r="D43" i="7"/>
  <c r="D42" i="7" s="1"/>
  <c r="D109" i="7"/>
  <c r="E80" i="7"/>
  <c r="D81" i="7"/>
  <c r="D80" i="7" s="1"/>
  <c r="D84" i="7"/>
  <c r="D83" i="7" s="1"/>
  <c r="E83" i="7"/>
  <c r="D71" i="7"/>
  <c r="D78" i="7"/>
  <c r="E66" i="7"/>
  <c r="D70" i="7"/>
  <c r="D66" i="7" s="1"/>
  <c r="E66" i="4"/>
  <c r="E63" i="7"/>
  <c r="D64" i="7"/>
  <c r="D63" i="7" s="1"/>
  <c r="E76" i="7"/>
  <c r="D77" i="7"/>
  <c r="D39" i="7"/>
  <c r="E51" i="7" l="1"/>
  <c r="E50" i="7" s="1"/>
  <c r="D51" i="7"/>
  <c r="D50" i="7" s="1"/>
  <c r="L7" i="8" s="1"/>
  <c r="D95" i="7"/>
  <c r="L10" i="8" s="1"/>
  <c r="B4" i="2"/>
  <c r="E37" i="7"/>
  <c r="E36" i="7" s="1"/>
  <c r="E62" i="3"/>
  <c r="B3" i="3"/>
  <c r="D79" i="7"/>
  <c r="L9" i="8" s="1"/>
  <c r="E79" i="7"/>
  <c r="D76" i="7"/>
  <c r="D62" i="7" s="1"/>
  <c r="L8" i="8" s="1"/>
  <c r="E62" i="7"/>
  <c r="D37" i="7"/>
  <c r="D36" i="7" s="1"/>
  <c r="L6" i="8" s="1"/>
  <c r="E48" i="2"/>
  <c r="K7" i="8" l="1"/>
  <c r="K9" i="8"/>
  <c r="D35" i="7"/>
  <c r="L11" i="8" s="1"/>
  <c r="K8" i="8"/>
  <c r="K6" i="8"/>
  <c r="E35" i="7"/>
  <c r="K11" i="8" s="1"/>
</calcChain>
</file>

<file path=xl/comments1.xml><?xml version="1.0" encoding="utf-8"?>
<comments xmlns="http://schemas.openxmlformats.org/spreadsheetml/2006/main">
  <authors>
    <author>ACEEE</author>
    <author>Tyler Bailey</author>
  </authors>
  <commentList>
    <comment ref="B9" authorId="0" shapeId="0">
      <text>
        <r>
          <rPr>
            <b/>
            <sz val="10"/>
            <color indexed="81"/>
            <rFont val="Tahoma"/>
            <family val="2"/>
          </rPr>
          <t>ACEEE:</t>
        </r>
        <r>
          <rPr>
            <sz val="10"/>
            <color indexed="81"/>
            <rFont val="Tahoma"/>
            <family val="2"/>
          </rPr>
          <t xml:space="preserve">
Your city can earn points for only one goal or the other (GHG reduction or energy efficiency). We do not add the total points received for a greenhouse gas reduction goal and an energy efficiency goal. Instead, we use the goal that your city will score best on. For example, if your city was on track to achieve its energy efficiency goal but not its greenhouse gas reduction goal, we would only count the points given for the energy efficiency goal. We do, however, add points from annual public reporting separately. </t>
        </r>
      </text>
    </comment>
    <comment ref="B12" authorId="0" shapeId="0">
      <text>
        <r>
          <rPr>
            <b/>
            <sz val="10"/>
            <color indexed="81"/>
            <rFont val="Tahoma"/>
            <family val="2"/>
          </rPr>
          <t>ACEEE:</t>
        </r>
        <r>
          <rPr>
            <sz val="10"/>
            <color indexed="81"/>
            <rFont val="Tahoma"/>
            <family val="2"/>
          </rPr>
          <t xml:space="preserve">
Please enter the nearest target year of your city's goal. For example, if your city has goals to reduce energy use by 2020, 2030, and 2050, enter 2020. 
If your community has an annual reduction goal, please contact us at cityscorecard@aceee.org for assistance in calculating the appropriate values.  </t>
        </r>
      </text>
    </comment>
    <comment ref="B13" authorId="0" shapeId="0">
      <text>
        <r>
          <rPr>
            <b/>
            <sz val="10"/>
            <color indexed="81"/>
            <rFont val="Tahoma"/>
            <family val="2"/>
          </rPr>
          <t>ACEEE:</t>
        </r>
        <r>
          <rPr>
            <sz val="10"/>
            <color indexed="81"/>
            <rFont val="Tahoma"/>
            <family val="2"/>
          </rPr>
          <t xml:space="preserve">
The formula is set up to calculate a cumulative energy efficiency or greenhouse gas emissions reduction goal. If your city has a per capita, annual, or energy intensity goal, please contact us at cityscorecard@aceee.org for assistance in calculating the appropriate values.  </t>
        </r>
      </text>
    </comment>
    <comment ref="B15" authorId="0" shapeId="0">
      <text>
        <r>
          <rPr>
            <b/>
            <sz val="10"/>
            <color indexed="81"/>
            <rFont val="Tahoma"/>
            <family val="2"/>
          </rPr>
          <t>ACEEE:</t>
        </r>
        <r>
          <rPr>
            <sz val="10"/>
            <color indexed="81"/>
            <rFont val="Tahoma"/>
            <family val="2"/>
          </rPr>
          <t xml:space="preserve">
If you don't have energy consumption or GHG emissions data available for the adoption year, then please provide the closest year to adoption for which you have available data in either C15 or D15. 
If you have any questions, please contact us at cityscorecard@aceee.org.
</t>
        </r>
      </text>
    </comment>
    <comment ref="B16" authorId="0" shapeId="0">
      <text>
        <r>
          <rPr>
            <b/>
            <sz val="10"/>
            <color indexed="81"/>
            <rFont val="Tahoma"/>
            <family val="2"/>
          </rPr>
          <t>ACEEE:</t>
        </r>
        <r>
          <rPr>
            <sz val="10"/>
            <color indexed="81"/>
            <rFont val="Tahoma"/>
            <family val="2"/>
          </rPr>
          <t xml:space="preserve">
If you don't have energy consumption or GHG emissions data available for the adoption year, then please provide data from the year closest to adoption. The data should be pulled from the year that was entered in C15 or D15. 
If you have any questions, please contact us at cityscorecard@aceee.org. 
</t>
        </r>
      </text>
    </comment>
    <comment ref="B17" authorId="0" shapeId="0">
      <text>
        <r>
          <rPr>
            <b/>
            <sz val="10"/>
            <color indexed="81"/>
            <rFont val="Tahoma"/>
            <family val="2"/>
          </rPr>
          <t>ACEEE:</t>
        </r>
        <r>
          <rPr>
            <sz val="10"/>
            <color indexed="81"/>
            <rFont val="Tahoma"/>
            <family val="2"/>
          </rPr>
          <t xml:space="preserve">
The year entered in C17 or D17 must be more recent than the adoption year (C15). In the case that your most recent year of energy or GHG data is also the year of data nearest to the year you adopted your goal, please contact us at cityscorecard@aceee.org. In this case the tool will not calculate correctly. 
If you need assistance or have any questions, please contact us at cityscorecard@aceee.org. 
</t>
        </r>
      </text>
    </comment>
    <comment ref="B18" authorId="0" shapeId="0">
      <text>
        <r>
          <rPr>
            <b/>
            <sz val="10"/>
            <color indexed="81"/>
            <rFont val="Tahoma"/>
            <family val="2"/>
          </rPr>
          <t>ACEEE:</t>
        </r>
        <r>
          <rPr>
            <sz val="10"/>
            <color indexed="81"/>
            <rFont val="Tahoma"/>
            <family val="2"/>
          </rPr>
          <t xml:space="preserve">
Please enter the energy consumption or GHG emissions data for the year entered in C17 or D17. The data must be pulled from a year more recent than the adoption year or the tool will not calculate correctly. 
If you need assistance or have any questions, please contact us at cityscorecard@aceee.org. 
</t>
        </r>
      </text>
    </comment>
    <comment ref="B22" authorId="0" shapeId="0">
      <text>
        <r>
          <rPr>
            <b/>
            <sz val="10"/>
            <color indexed="81"/>
            <rFont val="Tahoma"/>
            <family val="2"/>
          </rPr>
          <t>ACEEE:</t>
        </r>
        <r>
          <rPr>
            <sz val="10"/>
            <color indexed="81"/>
            <rFont val="Tahoma"/>
            <family val="2"/>
          </rPr>
          <t xml:space="preserve">
To calculate stringency, we determined the average annual energy or GHG emissions reduction needed to achieve your nearest target. We controlled for the baseline year and used the adoption year or most recent year of available data to avoid inflating the savings achieved. 
If you have any questions about how this is calculated, please contact us at cityscorecard@aceee.org.</t>
        </r>
      </text>
    </comment>
    <comment ref="B23" authorId="0" shapeId="0">
      <text>
        <r>
          <rPr>
            <b/>
            <sz val="10"/>
            <color indexed="81"/>
            <rFont val="Tahoma"/>
            <family val="2"/>
          </rPr>
          <t>ACEEE:</t>
        </r>
        <r>
          <rPr>
            <sz val="10"/>
            <color indexed="81"/>
            <rFont val="Tahoma"/>
            <family val="2"/>
          </rPr>
          <t xml:space="preserve">
We evaluated cities on the basis of their progress toward the most imminent future goal. To be considered on track, the number calculated in C23 must exceed the target % that was inserted in cell C13. </t>
        </r>
      </text>
    </comment>
    <comment ref="B24" authorId="0" shapeId="0">
      <text>
        <r>
          <rPr>
            <b/>
            <sz val="10"/>
            <color indexed="81"/>
            <rFont val="Tahoma"/>
            <family val="2"/>
          </rPr>
          <t>ACEEE:</t>
        </r>
        <r>
          <rPr>
            <sz val="10"/>
            <color indexed="81"/>
            <rFont val="Tahoma"/>
            <family val="2"/>
          </rPr>
          <t xml:space="preserve">
Examples of public reporting on local government progress include greenhouse gas inventories, updates detailing the emissions from local government operations, and energy efficiency progress reports detailing local government energy usage and actions to improve efficiency. To receive credit, this reporting must be easily available to the public through the local government’s website or other means.</t>
        </r>
      </text>
    </comment>
    <comment ref="L24" authorId="1" shapeId="0">
      <text>
        <r>
          <rPr>
            <b/>
            <sz val="9"/>
            <color indexed="81"/>
            <rFont val="Tahoma"/>
            <family val="2"/>
          </rPr>
          <t>Tyler Bailey:</t>
        </r>
        <r>
          <rPr>
            <sz val="9"/>
            <color indexed="81"/>
            <rFont val="Tahoma"/>
            <family val="2"/>
          </rPr>
          <t xml:space="preserve">
Used to yield "" in Analysis worksheet</t>
        </r>
      </text>
    </comment>
    <comment ref="B29" authorId="0" shapeId="0">
      <text>
        <r>
          <rPr>
            <b/>
            <sz val="10"/>
            <color indexed="81"/>
            <rFont val="Tahoma"/>
            <family val="2"/>
          </rPr>
          <t>ACEEE:</t>
        </r>
        <r>
          <rPr>
            <sz val="10"/>
            <color indexed="81"/>
            <rFont val="Tahoma"/>
            <family val="2"/>
          </rPr>
          <t xml:space="preserve">
To calculate stringency, we determined the average annual energy or GHG emissions reduction needed to achieve your nearest target. We controlled for the baseline year and used the adoption year or most recent year of available data to avoid inflating the savings achieved. 
If you have any questions about how this is calculated, please contact us at cityscorecard@aceee.org.</t>
        </r>
      </text>
    </comment>
    <comment ref="B30" authorId="0" shapeId="0">
      <text>
        <r>
          <rPr>
            <b/>
            <sz val="10"/>
            <color indexed="81"/>
            <rFont val="Tahoma"/>
            <family val="2"/>
          </rPr>
          <t>ACEEE:</t>
        </r>
        <r>
          <rPr>
            <sz val="10"/>
            <color indexed="81"/>
            <rFont val="Tahoma"/>
            <family val="2"/>
          </rPr>
          <t xml:space="preserve">
We evaluated cities on the basis of their progress toward the most imminent future goal. To be considered on track, the number calculated in C30 </t>
        </r>
        <r>
          <rPr>
            <sz val="10"/>
            <color indexed="81"/>
            <rFont val="Tahoma"/>
            <family val="2"/>
          </rPr>
          <t xml:space="preserve">must exceed the target % that was inserted in cell C13. </t>
        </r>
      </text>
    </comment>
    <comment ref="B31" authorId="0" shapeId="0">
      <text>
        <r>
          <rPr>
            <b/>
            <sz val="10"/>
            <color indexed="81"/>
            <rFont val="Tahoma"/>
            <family val="2"/>
          </rPr>
          <t>ACEEE:</t>
        </r>
        <r>
          <rPr>
            <sz val="10"/>
            <color indexed="81"/>
            <rFont val="Tahoma"/>
            <family val="2"/>
          </rPr>
          <t xml:space="preserve">
Examples of public reporting on local government progress include greenhouse gas inventories, updates detailing the emissions from local government operations, and energy efficiency progress reports detailing local government energy usage and actions to improve efficiency. To receive credit, this reporting must be easily available to the public through the local government’s website or other means.</t>
        </r>
      </text>
    </comment>
    <comment ref="B35" authorId="0" shapeId="0">
      <text>
        <r>
          <rPr>
            <b/>
            <sz val="10"/>
            <color indexed="81"/>
            <rFont val="Tahoma"/>
            <family val="2"/>
          </rPr>
          <t>ACEEE:</t>
        </r>
        <r>
          <rPr>
            <sz val="10"/>
            <color indexed="81"/>
            <rFont val="Tahoma"/>
            <family val="2"/>
          </rPr>
          <t xml:space="preserve">
A standard based on the Model Lighting Ordinance, developed by the Illuminating Engineering Society and the International Dark-Sky Association, reflects best practice. To receive full credit, the policy must have a lighting controls provision that prohibits the use of lighting when daylight is available. We give partial credit if a community has begun significant outdoor lighting replacement and upgrade programs but does not have an efficiency requirement in place.</t>
        </r>
        <r>
          <rPr>
            <sz val="8"/>
            <color indexed="81"/>
            <rFont val="Tahoma"/>
            <family val="2"/>
          </rPr>
          <t xml:space="preserve">
</t>
        </r>
      </text>
    </comment>
    <comment ref="B37" authorId="0" shapeId="0">
      <text>
        <r>
          <rPr>
            <b/>
            <sz val="10"/>
            <color indexed="81"/>
            <rFont val="Tahoma"/>
            <family val="2"/>
          </rPr>
          <t>ACEEE:</t>
        </r>
        <r>
          <rPr>
            <sz val="10"/>
            <color indexed="81"/>
            <rFont val="Tahoma"/>
            <family val="2"/>
          </rPr>
          <t xml:space="preserve">
An example of an energy efficiency requirement in a procurement policy is a mandate to  purchase only ENERGY STAR appliances and/or equipment.</t>
        </r>
      </text>
    </comment>
    <comment ref="B39" authorId="0" shapeId="0">
      <text>
        <r>
          <rPr>
            <b/>
            <sz val="10"/>
            <color indexed="81"/>
            <rFont val="Tahoma"/>
            <family val="2"/>
          </rPr>
          <t>ACEEE:</t>
        </r>
        <r>
          <rPr>
            <sz val="10"/>
            <color indexed="81"/>
            <rFont val="Tahoma"/>
            <family val="2"/>
          </rPr>
          <t xml:space="preserve">
Local governments with fuel efficiency requirements and/or requirements to purchase fuel-efficient vehicles types, such as hybrid or electric vehicles, earn points. We do not award points to local governments with requirements for alternative fuel vehicles (e.g., natural gas vehicles) since alternative fuels are not inherently energy-saving.</t>
        </r>
      </text>
    </comment>
    <comment ref="B45" authorId="0" shapeId="0">
      <text>
        <r>
          <rPr>
            <b/>
            <sz val="10"/>
            <color indexed="81"/>
            <rFont val="Tahoma"/>
            <family val="2"/>
          </rPr>
          <t>ACEEE:</t>
        </r>
        <r>
          <rPr>
            <sz val="10"/>
            <color indexed="81"/>
            <rFont val="Tahoma"/>
            <family val="2"/>
          </rPr>
          <t xml:space="preserve">
If exact data on the extent of building benchmarking is not available, you can use an estimate. For example, if you learn that the majority of public buildings are benchmarked even if data on the exact square footage benchmarked is unavailable, select the “50 – 74.9%” option in Column D. That option represents more than half of local government buildings. </t>
        </r>
      </text>
    </comment>
    <comment ref="B46" authorId="0" shapeId="0">
      <text>
        <r>
          <rPr>
            <b/>
            <sz val="10"/>
            <color indexed="81"/>
            <rFont val="Tahoma"/>
            <family val="2"/>
          </rPr>
          <t>ACEEE:</t>
        </r>
        <r>
          <rPr>
            <sz val="10"/>
            <color indexed="81"/>
            <rFont val="Tahoma"/>
            <family val="2"/>
          </rPr>
          <t xml:space="preserve">
Local governments receive full credit if they have portfolio-wide energy performance strategies that incorporate both capital improvements (e.g., equipment replacement, building shell upgrades) and operational improvements (e.g., active energy management, audits, and retrocommissioning) customized to specific buildings.  Local governments that have made significant efficiency retrofit investments but do not have a comprehensive strategy receive half credit.</t>
        </r>
      </text>
    </comment>
  </commentList>
</comments>
</file>

<file path=xl/comments2.xml><?xml version="1.0" encoding="utf-8"?>
<comments xmlns="http://schemas.openxmlformats.org/spreadsheetml/2006/main">
  <authors>
    <author>ACEEE</author>
  </authors>
  <commentList>
    <comment ref="B10" authorId="0" shapeId="0">
      <text>
        <r>
          <rPr>
            <b/>
            <sz val="10"/>
            <color indexed="81"/>
            <rFont val="Tahoma"/>
            <family val="2"/>
          </rPr>
          <t>ACEEE:</t>
        </r>
        <r>
          <rPr>
            <sz val="10"/>
            <color indexed="81"/>
            <rFont val="Tahoma"/>
            <family val="2"/>
          </rPr>
          <t xml:space="preserve">
Please enter the nearest target year of your city's goal. For example, if your city has goals to reduce energy use by 2020, 2030, and 2050, enter 2020. 
If your community has an annual reduction goal, please contact us at cityscorecard@aceee.org for assistance in calculating the appropriate values.  </t>
        </r>
      </text>
    </comment>
    <comment ref="B11" authorId="0" shapeId="0">
      <text>
        <r>
          <rPr>
            <b/>
            <sz val="10"/>
            <color indexed="81"/>
            <rFont val="Tahoma"/>
            <family val="2"/>
          </rPr>
          <t>ACEEE:</t>
        </r>
        <r>
          <rPr>
            <sz val="10"/>
            <color indexed="81"/>
            <rFont val="Tahoma"/>
            <family val="2"/>
          </rPr>
          <t xml:space="preserve">
The formula is set up to calculate a cumulative energy efficiency or greenhouse gas emissions reduction goal. If your city has a per capita, annual, or energy intensity goal, please contact us at cityscorecard@aceee.org for assistance in calculating the appropriate values.  </t>
        </r>
      </text>
    </comment>
    <comment ref="B13" authorId="0" shapeId="0">
      <text>
        <r>
          <rPr>
            <b/>
            <sz val="10"/>
            <color indexed="81"/>
            <rFont val="Tahoma"/>
            <family val="2"/>
          </rPr>
          <t>ACEEE:</t>
        </r>
        <r>
          <rPr>
            <sz val="10"/>
            <color indexed="81"/>
            <rFont val="Tahoma"/>
            <family val="2"/>
          </rPr>
          <t xml:space="preserve">
If you don't have energy consumption or GHG emissions data available for the adoption year, then please provide the closest year to adoption for which you have available data in either C13 or D13. 
If you have any questions, please contact us at cityscorecard@aceee.org. 
</t>
        </r>
      </text>
    </comment>
    <comment ref="B14" authorId="0" shapeId="0">
      <text>
        <r>
          <rPr>
            <b/>
            <sz val="10"/>
            <color indexed="81"/>
            <rFont val="Tahoma"/>
            <family val="2"/>
          </rPr>
          <t>ACEEE:</t>
        </r>
        <r>
          <rPr>
            <sz val="10"/>
            <color indexed="81"/>
            <rFont val="Tahoma"/>
            <family val="2"/>
          </rPr>
          <t xml:space="preserve">
If you don't have energy consumption or GHG emissions data available for the adoption year, then please provide data from the year closest to adoption. The data should be pulled from the year that was entered in C13 or D13. 
If you need any assitance or have any questions, please contact us at cityscorecard@aceee.org. 
</t>
        </r>
      </text>
    </comment>
    <comment ref="B15" authorId="0" shapeId="0">
      <text>
        <r>
          <rPr>
            <b/>
            <sz val="10"/>
            <color indexed="81"/>
            <rFont val="Tahoma"/>
            <family val="2"/>
          </rPr>
          <t>ACEEE:</t>
        </r>
        <r>
          <rPr>
            <sz val="10"/>
            <color indexed="81"/>
            <rFont val="Tahoma"/>
            <family val="2"/>
          </rPr>
          <t xml:space="preserve">
The year entered in C15 or D15 must be more recent than the adoption year (C13). In the case that your most recent year of energy or GHG data is also the year of data nearest to the year you adopted your goal, please contact us at cityscorecard@aceee.org</t>
        </r>
        <r>
          <rPr>
            <b/>
            <i/>
            <sz val="10"/>
            <color indexed="81"/>
            <rFont val="Tahoma"/>
            <family val="2"/>
          </rPr>
          <t xml:space="preserve">
</t>
        </r>
        <r>
          <rPr>
            <sz val="10"/>
            <color indexed="81"/>
            <rFont val="Tahoma"/>
            <family val="2"/>
          </rPr>
          <t xml:space="preserve">
If you have any questions, please contact us at cityscorecard@aceee.org. 
</t>
        </r>
      </text>
    </comment>
    <comment ref="B16" authorId="0" shapeId="0">
      <text>
        <r>
          <rPr>
            <b/>
            <sz val="10"/>
            <color indexed="81"/>
            <rFont val="Tahoma"/>
            <family val="2"/>
          </rPr>
          <t>ACEEE:</t>
        </r>
        <r>
          <rPr>
            <sz val="10"/>
            <color indexed="81"/>
            <rFont val="Tahoma"/>
            <family val="2"/>
          </rPr>
          <t xml:space="preserve">
Please enter the energy consumption or GHG emissions data for the year entered in C15 or D15. The data must be pulled from a year more recent than the adoption year or the tool will not calculate correctly. 
If you need assistance or have any questions, please contact us at cityscorecard@aceee.org. 
</t>
        </r>
      </text>
    </comment>
    <comment ref="B21" authorId="0" shapeId="0">
      <text>
        <r>
          <rPr>
            <b/>
            <sz val="10"/>
            <color indexed="81"/>
            <rFont val="Tahoma"/>
            <family val="2"/>
          </rPr>
          <t>ACEEE:</t>
        </r>
        <r>
          <rPr>
            <sz val="10"/>
            <color indexed="81"/>
            <rFont val="Tahoma"/>
            <family val="2"/>
          </rPr>
          <t xml:space="preserve">
Targets for energy efficiency, energy consumption, energy intensity, and greenhouse gas emission reductions all receive points here, but renewable energy targets do not. Scoring is scaled on the basis of a local government's progress in setting and implementing goals. Communities that have only formed a  stakeholder group receive the fewest points. To receive full credit, the targets must be adopted through executive order or city resolution and integrated into the locality’s comprehensive plan or mainstreamed across community activities by some other means.</t>
        </r>
      </text>
    </comment>
    <comment ref="B22" authorId="0" shapeId="0">
      <text>
        <r>
          <rPr>
            <b/>
            <sz val="10"/>
            <color indexed="81"/>
            <rFont val="Tahoma"/>
            <family val="2"/>
          </rPr>
          <t>ACEEE:</t>
        </r>
        <r>
          <rPr>
            <sz val="10"/>
            <color indexed="81"/>
            <rFont val="Tahoma"/>
            <family val="2"/>
          </rPr>
          <t xml:space="preserve">
To calculate stringency, we determined the average annual energy or GHG emissions reduction needed to achieve your nearest target. We controlled for the baseline year and used the adoption year or most recent year of available data to avoid inflating the savings achieved. 
If you have any questions about how this is calculated, please contact us at cityscorecard@aceee.org.</t>
        </r>
      </text>
    </comment>
    <comment ref="B23" authorId="0" shapeId="0">
      <text>
        <r>
          <rPr>
            <b/>
            <sz val="10"/>
            <color indexed="81"/>
            <rFont val="Tahoma"/>
            <family val="2"/>
          </rPr>
          <t>ACEEE:</t>
        </r>
        <r>
          <rPr>
            <sz val="10"/>
            <color indexed="81"/>
            <rFont val="Tahoma"/>
            <family val="2"/>
          </rPr>
          <t xml:space="preserve">
We evaluated cities on the basis of their progress toward the most imminent future goal. To be considered on track, the number calculated in C23 must exceed the target % that was inserted in cell C11. </t>
        </r>
        <r>
          <rPr>
            <b/>
            <i/>
            <u/>
            <sz val="10"/>
            <color indexed="81"/>
            <rFont val="Tahoma"/>
            <family val="2"/>
          </rPr>
          <t>C11 is correct, yes?</t>
        </r>
      </text>
    </comment>
    <comment ref="B24" authorId="0" shapeId="0">
      <text>
        <r>
          <rPr>
            <b/>
            <sz val="10"/>
            <color indexed="81"/>
            <rFont val="Tahoma"/>
            <family val="2"/>
          </rPr>
          <t>ACEEE:</t>
        </r>
        <r>
          <rPr>
            <sz val="10"/>
            <color indexed="81"/>
            <rFont val="Tahoma"/>
            <family val="2"/>
          </rPr>
          <t xml:space="preserve">
Examples include community-wide greenhouse gas inventories, sustainability plan updates detailing progress on community goals and related efficiency actions taken, public meetings detailing progress, and energy progress reports. To receive credit this report must be easily available to the public through the local government’s website or other means. </t>
        </r>
      </text>
    </comment>
    <comment ref="B28" authorId="0" shapeId="0">
      <text>
        <r>
          <rPr>
            <b/>
            <sz val="10"/>
            <color indexed="81"/>
            <rFont val="Tahoma"/>
            <family val="2"/>
          </rPr>
          <t>ACEEE:</t>
        </r>
        <r>
          <rPr>
            <sz val="10"/>
            <color indexed="81"/>
            <rFont val="Tahoma"/>
            <family val="2"/>
          </rPr>
          <t xml:space="preserve">
Targets for energy efficiency, energy consumption, energy intensity, and greenhouse gas emissions reductions all receive points here, but renewable energy targets do not. Scoring is scaled on the basis of a local government's progress in setting and implementing goals. Communities that have only formed a  stakeholder group receive the fewest points. To receive full credit, the targets must be adopted through executive order or city resolution and integrated into the locality’s comprehensive plan or mainstreamed across community activities by some other means.</t>
        </r>
      </text>
    </comment>
    <comment ref="B29" authorId="0" shapeId="0">
      <text>
        <r>
          <rPr>
            <b/>
            <sz val="10"/>
            <color indexed="81"/>
            <rFont val="Tahoma"/>
            <family val="2"/>
          </rPr>
          <t>ACEEE:</t>
        </r>
        <r>
          <rPr>
            <sz val="10"/>
            <color indexed="81"/>
            <rFont val="Tahoma"/>
            <family val="2"/>
          </rPr>
          <t xml:space="preserve">
To calculate stringency, we determined the average annual energy or GHG emissions reduction needed to achieve your nearest target. We controlled for the baseline year and used the adoption year or most recent year of available data to avoid inflating the savings achieved. 
If you have any questions about how this is calculated, please contact us at cityscorecard@aceee.org.</t>
        </r>
      </text>
    </comment>
    <comment ref="B30" authorId="0" shapeId="0">
      <text>
        <r>
          <rPr>
            <b/>
            <sz val="10"/>
            <color indexed="81"/>
            <rFont val="Tahoma"/>
            <family val="2"/>
          </rPr>
          <t>ACEEE:</t>
        </r>
        <r>
          <rPr>
            <sz val="10"/>
            <color indexed="81"/>
            <rFont val="Tahoma"/>
            <family val="2"/>
          </rPr>
          <t xml:space="preserve">
We evaluated cities on the basis of their progress toward the most imminent future goal. To be considered on track, the number calculated in C30 must exceed the target % that was inserted in cell D11. </t>
        </r>
      </text>
    </comment>
    <comment ref="B31" authorId="0" shapeId="0">
      <text>
        <r>
          <rPr>
            <b/>
            <sz val="10"/>
            <color indexed="81"/>
            <rFont val="Tahoma"/>
            <family val="2"/>
          </rPr>
          <t>ACEEE:</t>
        </r>
        <r>
          <rPr>
            <sz val="10"/>
            <color indexed="81"/>
            <rFont val="Tahoma"/>
            <family val="2"/>
          </rPr>
          <t xml:space="preserve">
Examples include community-wide greenhouse gas inventories, sustainability plan updates detailing progress on community goals and related efficiency actions taken, public meetings detailing progress, and energy progress reports. To receive credit this report must be easily available to the public through the local government’s website or other means. </t>
        </r>
      </text>
    </comment>
    <comment ref="B44" authorId="0" shapeId="0">
      <text>
        <r>
          <rPr>
            <b/>
            <sz val="10"/>
            <color indexed="81"/>
            <rFont val="Tahoma"/>
            <family val="2"/>
          </rPr>
          <t>ACEEE:</t>
        </r>
        <r>
          <rPr>
            <sz val="10"/>
            <color indexed="81"/>
            <rFont val="Tahoma"/>
            <family val="2"/>
          </rPr>
          <t xml:space="preserve">
Examples of goals that receive credit are urban tree canopy and temperature-reduction targets.    </t>
        </r>
        <r>
          <rPr>
            <sz val="8"/>
            <color indexed="81"/>
            <rFont val="Tahoma"/>
            <family val="2"/>
          </rPr>
          <t xml:space="preserve">
</t>
        </r>
      </text>
    </comment>
    <comment ref="B45" authorId="0" shapeId="0">
      <text>
        <r>
          <rPr>
            <b/>
            <sz val="10"/>
            <color indexed="81"/>
            <rFont val="Tahoma"/>
            <family val="2"/>
          </rPr>
          <t>ACEEE:</t>
        </r>
        <r>
          <rPr>
            <sz val="10"/>
            <color indexed="81"/>
            <rFont val="Tahoma"/>
            <family val="2"/>
          </rPr>
          <t xml:space="preserve">
We award 1 point per policy adopted, up to a maximum of 2 points.     </t>
        </r>
        <r>
          <rPr>
            <sz val="8"/>
            <color indexed="81"/>
            <rFont val="Tahoma"/>
            <family val="2"/>
          </rPr>
          <t xml:space="preserve">
</t>
        </r>
      </text>
    </comment>
  </commentList>
</comments>
</file>

<file path=xl/comments3.xml><?xml version="1.0" encoding="utf-8"?>
<comments xmlns="http://schemas.openxmlformats.org/spreadsheetml/2006/main">
  <authors>
    <author>ACEEE</author>
  </authors>
  <commentList>
    <comment ref="B18" authorId="0" shapeId="0">
      <text>
        <r>
          <rPr>
            <b/>
            <sz val="10"/>
            <color indexed="81"/>
            <rFont val="Tahoma"/>
            <family val="2"/>
          </rPr>
          <t>ACEEE:</t>
        </r>
        <r>
          <rPr>
            <sz val="10"/>
            <color indexed="81"/>
            <rFont val="Tahoma"/>
            <family val="2"/>
          </rPr>
          <t xml:space="preserve">
The relationship between state and local governments in terms of code adoption authority varies from state to state. In scoring building energy codes, we took this relationship into account because it affects how much flexibility cities have to adopt their own energy codes. Because scoring is dependent on building code jurisdictional authority and/or the implementation of stretch codes, questions will change depending on the answers you provide to preliminary questions.
</t>
        </r>
      </text>
    </comment>
    <comment ref="F18" authorId="0" shapeId="0">
      <text>
        <r>
          <rPr>
            <b/>
            <sz val="10"/>
            <color indexed="81"/>
            <rFont val="Tahoma"/>
            <family val="2"/>
          </rPr>
          <t>ACEEE:</t>
        </r>
        <r>
          <rPr>
            <sz val="10"/>
            <color indexed="81"/>
            <rFont val="Tahoma"/>
            <family val="2"/>
          </rPr>
          <t xml:space="preserve">
Follow Procedure 1 for info on state energy codes; follow Procedure 2 for info on more stringent local energy stretch codes.
1. Once you have clicked through to the Building Codes Assistance Project website, click the map of the United States titled “Residential Adoption.” A larger map of the United States will then be displayed that allows users to ascertain state-specific info. Find the state where your community is located in the State Information search bar at the top right-hand corner. The state code will be displayed under “Current Code,” and the third line, titled “Based on,” will provide the data necessary to answer this question. 
Another way to see current commercial and residential energy codes is to click the "View All Code Statuses by State” in the menu on the right side of the Code Status page. This will bring up a table of all states; scroll down to find your state. The current commercial and residential codes will be listed, along with their effective date. For additional state-specific code information, click on your state's name in the left/first column. 
2. Once you have clicked through to the Building Code Assistance Project website, find the link to the right of the page under “Local Adoptions by State.”  Once on that page, scroll down until you find the state where your community is located. If your city (or county for some jurisdictions) has a locally adopted code, you may find it under “Current Energy Code.” If you don’t find your city on the list, we recommend that you conduct your own research (such as through your own city's government website) to determine if your city has a code in place. </t>
        </r>
        <r>
          <rPr>
            <sz val="9"/>
            <color indexed="81"/>
            <rFont val="Tahoma"/>
            <family val="2"/>
          </rPr>
          <t xml:space="preserve">
</t>
        </r>
      </text>
    </comment>
    <comment ref="F19" authorId="0" shapeId="0">
      <text>
        <r>
          <rPr>
            <b/>
            <sz val="10"/>
            <color indexed="81"/>
            <rFont val="Tahoma"/>
            <family val="2"/>
          </rPr>
          <t>ACEEE:</t>
        </r>
        <r>
          <rPr>
            <sz val="10"/>
            <color indexed="81"/>
            <rFont val="Tahoma"/>
            <family val="2"/>
          </rPr>
          <t xml:space="preserve">
Follow Procedure 1 for info on state energy codes; follow Procedure 2 for info on more stringent local energy stretch codes.
1. Once you have clicked through to the Building Codes Assistance Project website, click the map of the United States titled “Residential Adoption.” A larger map of the United States will then be displayed that allows users to ascertain state-specific info. Find the state where your community is located in the State Information search bar at the top right-hand corner. The state code will be displayed under “Current Code,” and the third line, titled “Based on,” will provide the data necessary to answer this question. 
2. Once you have clicked through to the Building Code Assistance Project website, find the link to the right of the page under “Local Adoptions by State.”  Once on that page, scroll down until you find the state where your community is located. If your city (or county for some jurisdictions) has a locally adopted code, you may find it under “Current Energy Code.” If you don’t find your city on the list, we recommend that you conduct your own research (such as through your own city's government website) to determine if your city has a code in place. 
</t>
        </r>
      </text>
    </comment>
    <comment ref="F20" authorId="0" shapeId="0">
      <text>
        <r>
          <rPr>
            <b/>
            <sz val="10"/>
            <color indexed="81"/>
            <rFont val="Tahoma"/>
            <family val="2"/>
          </rPr>
          <t>ACEEE:</t>
        </r>
        <r>
          <rPr>
            <sz val="10"/>
            <color indexed="81"/>
            <rFont val="Tahoma"/>
            <family val="2"/>
          </rPr>
          <t xml:space="preserve">
If you are answering this question, please follow Procedure 1 discussed in cell F18, above.</t>
        </r>
      </text>
    </comment>
    <comment ref="B21" authorId="0" shapeId="0">
      <text>
        <r>
          <rPr>
            <b/>
            <sz val="10"/>
            <color indexed="81"/>
            <rFont val="Tahoma"/>
            <family val="2"/>
          </rPr>
          <t>ACEEE:</t>
        </r>
        <r>
          <rPr>
            <sz val="10"/>
            <color indexed="81"/>
            <rFont val="Tahoma"/>
            <family val="2"/>
          </rPr>
          <t xml:space="preserve">
We consider a local government to be an active advocate for code improvement if it meets one of the following criteria:
• Local government official participates in technical advisory groups for building code development.
• Local government submits public comments in support of code upgrades during the state code-change rulemaking process.
• Local government makes other active advocacy and lobbying efforts. 
</t>
        </r>
      </text>
    </comment>
    <comment ref="B22" authorId="0" shapeId="0">
      <text>
        <r>
          <rPr>
            <b/>
            <sz val="10"/>
            <color indexed="81"/>
            <rFont val="Tahoma"/>
            <family val="2"/>
          </rPr>
          <t>ACEEE:</t>
        </r>
        <r>
          <rPr>
            <sz val="10"/>
            <color indexed="81"/>
            <rFont val="Tahoma"/>
            <family val="2"/>
          </rPr>
          <t xml:space="preserve">
The relationship between state and local governments in terms of code adoption authority varies from state to state. In scoring building energy codes, we took this relationship into account because it affects how much flexibility cities have to adopt their own energy codes. Because scoring is dependent on building code jurisdictional authority and/or the implementation of stretch codes, questions will change depending on the answers you provide to preliminary questions.
</t>
        </r>
      </text>
    </comment>
    <comment ref="F22" authorId="0" shapeId="0">
      <text>
        <r>
          <rPr>
            <b/>
            <sz val="10"/>
            <color indexed="81"/>
            <rFont val="Tahoma"/>
            <family val="2"/>
          </rPr>
          <t>ACEEE:</t>
        </r>
        <r>
          <rPr>
            <sz val="10"/>
            <color indexed="81"/>
            <rFont val="Tahoma"/>
            <family val="2"/>
          </rPr>
          <t xml:space="preserve">
Follow Procedure 1 for info on state energy codes; follow Procedure 2 for info on more stringent local energy stretch codes.
1. Once you have clicked through to the Building Codes Assistance Project website, click the map of the United States titled "Commercial Adoption.” A larger map of the United States will then be displayed that allows users to ascertain state-specific info. Find the state where your community is located in the State Information search bar at the top right-hand corner. The state code will be displayed under “Current Code,” and the third line, titled “Based on,” will provide the data necessary to answer this question.
2. Once you have clicked through to the Building Code Assistance Project website, find the link to the right of the page under “Local Adoptions by State.”  Once on that page, scroll down until you find the state where your community is located. If your city has a locally adopted code, you may find it under “Current Energy Code.” If you don’t find your city on the list, we recommend that you conduct your own research to determine if your city has a code in place. </t>
        </r>
      </text>
    </comment>
    <comment ref="F24" authorId="0" shapeId="0">
      <text>
        <r>
          <rPr>
            <b/>
            <sz val="10"/>
            <color indexed="81"/>
            <rFont val="Tahoma"/>
            <family val="2"/>
          </rPr>
          <t>ACEEE:</t>
        </r>
        <r>
          <rPr>
            <sz val="10"/>
            <color indexed="81"/>
            <rFont val="Tahoma"/>
            <family val="2"/>
          </rPr>
          <t xml:space="preserve">
If answering this question, please follow Procedure 1 discussed in cell F22, above.</t>
        </r>
      </text>
    </comment>
    <comment ref="B25" authorId="0" shapeId="0">
      <text>
        <r>
          <rPr>
            <b/>
            <sz val="10"/>
            <color indexed="81"/>
            <rFont val="Tahoma"/>
            <family val="2"/>
          </rPr>
          <t>ACEEE:</t>
        </r>
        <r>
          <rPr>
            <sz val="10"/>
            <color indexed="81"/>
            <rFont val="Tahoma"/>
            <family val="2"/>
          </rPr>
          <t xml:space="preserve">
We consider a local government to be an active advocate for code improvement if it meets one of the following criteria:
• Local government official participates in technical advisory groups for building code development.
• Local government submits public comments in support of code upgrades during the state code-change rulemaking process.
• Local government makes other active advocacy and lobbying efforts. 
</t>
        </r>
      </text>
    </comment>
    <comment ref="B26" authorId="0" shapeId="0">
      <text>
        <r>
          <rPr>
            <b/>
            <sz val="10"/>
            <color indexed="81"/>
            <rFont val="Tahoma"/>
            <family val="2"/>
          </rPr>
          <t>ACEEE:</t>
        </r>
        <r>
          <rPr>
            <sz val="10"/>
            <color indexed="81"/>
            <rFont val="Tahoma"/>
            <family val="2"/>
          </rPr>
          <t xml:space="preserve">
This is for bonus credit. We award points only if a community has not already earned the maximum for commercial and residential building code stringency (8 points). </t>
        </r>
      </text>
    </comment>
    <comment ref="B34" authorId="0" shapeId="0">
      <text>
        <r>
          <rPr>
            <b/>
            <sz val="10"/>
            <color indexed="81"/>
            <rFont val="Tahoma"/>
            <family val="2"/>
          </rPr>
          <t>ACEEE:</t>
        </r>
        <r>
          <rPr>
            <sz val="10"/>
            <color indexed="81"/>
            <rFont val="Tahoma"/>
            <family val="2"/>
          </rPr>
          <t xml:space="preserve">
Examples of up-front support to developers/owners include providing education prior to permit issuance in the form of workshops, training sessions, consultations, or application reviews by local government staff with an eye toward energy code compliance.</t>
        </r>
      </text>
    </comment>
    <comment ref="B40" authorId="0" shapeId="0">
      <text>
        <r>
          <rPr>
            <b/>
            <sz val="10"/>
            <color indexed="81"/>
            <rFont val="Tahoma"/>
            <family val="2"/>
          </rPr>
          <t>ACEEE:</t>
        </r>
        <r>
          <rPr>
            <sz val="10"/>
            <color indexed="81"/>
            <rFont val="Tahoma"/>
            <family val="2"/>
          </rPr>
          <t xml:space="preserve">
Energy audit requirements are used as a tool to provide information about energy use in existing buildings and to identify opportunities to improve energy performance. For example, the Energy Conservation Audit and Disclosure ordinance in Austin requires homes 10 or more years old to have an energy audit performed at the time of sale. It also requires the results to be disclosed to prospective buyers.</t>
        </r>
      </text>
    </comment>
    <comment ref="B41" authorId="0" shapeId="0">
      <text>
        <r>
          <rPr>
            <b/>
            <sz val="10"/>
            <color indexed="81"/>
            <rFont val="Tahoma"/>
            <family val="2"/>
          </rPr>
          <t>ACEEE:</t>
        </r>
        <r>
          <rPr>
            <sz val="10"/>
            <color indexed="81"/>
            <rFont val="Tahoma"/>
            <family val="2"/>
          </rPr>
          <t xml:space="preserve">
We awarded points in the code stringency metrics to communities whose building codes include green building requirements that apply to the entirety of the residential or commercial building stock. This metric recognizes additional efforts a community makes to extend more stringent, above-code requirements to specific categories of buildings. </t>
        </r>
      </text>
    </comment>
    <comment ref="B43" authorId="0" shapeId="0">
      <text>
        <r>
          <rPr>
            <b/>
            <sz val="10"/>
            <color indexed="81"/>
            <rFont val="Tahoma"/>
            <family val="2"/>
          </rPr>
          <t xml:space="preserve">ACEEE:
</t>
        </r>
        <r>
          <rPr>
            <sz val="10"/>
            <color indexed="81"/>
            <rFont val="Tahoma"/>
            <family val="2"/>
          </rPr>
          <t>In D43, please select the number of incentives and programs that your local government offers (up to a total of 6). Please count residential and commercial incentives separately. For example, if density bonuses are available to both residential and commercial buildings, select "2" rather than "1."</t>
        </r>
        <r>
          <rPr>
            <b/>
            <sz val="10"/>
            <color indexed="81"/>
            <rFont val="Tahoma"/>
            <family val="2"/>
          </rPr>
          <t xml:space="preserve"> 
</t>
        </r>
        <r>
          <rPr>
            <sz val="10"/>
            <color indexed="81"/>
            <rFont val="Tahoma"/>
            <family val="2"/>
          </rPr>
          <t xml:space="preserve">Examples of nonfinancial incentives include expediting the permitting process for green building practices and providing density bonuses that allow the construction of larger and/or higher structures. Examples of financial incentives include tax credits, permit fee reductions or waivers, grants, and property tax abatements. Examples of financing mechanisms that earn points include but are not limited to Property Assessed Clean Energy Financing (PACE), Tax Increment Financing (TIF), and revolving loan funds. 
</t>
        </r>
      </text>
    </comment>
    <comment ref="B47" authorId="0" shapeId="0">
      <text>
        <r>
          <rPr>
            <b/>
            <sz val="10"/>
            <color indexed="81"/>
            <rFont val="Tahoma"/>
            <family val="2"/>
          </rPr>
          <t>ACEEE:</t>
        </r>
        <r>
          <rPr>
            <sz val="10"/>
            <color indexed="81"/>
            <rFont val="Tahoma"/>
            <family val="2"/>
          </rPr>
          <t xml:space="preserve">
Benchmarking and energy use transparency policies for commercial buildings help to identify high-energy-consuming buildings and building types and to determine opportunities for targeted energy savings programs. In this question, credit for implementation is given if commercial buildings of any size have been required to start reporting energy use information.</t>
        </r>
      </text>
    </comment>
    <comment ref="F47" authorId="0" shapeId="0">
      <text>
        <r>
          <rPr>
            <b/>
            <sz val="10"/>
            <color indexed="81"/>
            <rFont val="Tahoma"/>
            <family val="2"/>
          </rPr>
          <t>ACEEE:</t>
        </r>
        <r>
          <rPr>
            <sz val="10"/>
            <color indexed="81"/>
            <rFont val="Tahoma"/>
            <family val="2"/>
          </rPr>
          <t xml:space="preserve">
After clicking the link, download the map that displays all benchmarking and transparency requirements that have been passed as of January 2017.  </t>
        </r>
        <r>
          <rPr>
            <sz val="10"/>
            <color indexed="81"/>
            <rFont val="Tahoma"/>
            <family val="2"/>
          </rPr>
          <t xml:space="preserve">
If your community has passed a commercial benchmarking policy more recently and it is not reflected on the map, please refer to it. </t>
        </r>
      </text>
    </comment>
    <comment ref="B48" authorId="0" shapeId="0">
      <text>
        <r>
          <rPr>
            <b/>
            <sz val="10"/>
            <color indexed="81"/>
            <rFont val="Tahoma"/>
            <family val="2"/>
          </rPr>
          <t>ACEEE:</t>
        </r>
        <r>
          <rPr>
            <sz val="10"/>
            <color indexed="81"/>
            <rFont val="Tahoma"/>
            <family val="2"/>
          </rPr>
          <t xml:space="preserve">
Cities with authority to pass these types of ordinances but have not yet done so can receive credit for a benchmarking program such as Central Florida Energy Efficiency Alliance's (CFEEA) Kilowatt Crackdown Challenge. 
</t>
        </r>
      </text>
    </comment>
    <comment ref="B50" authorId="0" shapeId="0">
      <text>
        <r>
          <rPr>
            <b/>
            <sz val="10"/>
            <color indexed="81"/>
            <rFont val="Tahoma"/>
            <family val="2"/>
          </rPr>
          <t>ACEEE:</t>
        </r>
        <r>
          <rPr>
            <sz val="10"/>
            <color indexed="81"/>
            <rFont val="Tahoma"/>
            <family val="2"/>
          </rPr>
          <t xml:space="preserve">
In D50, please select the number that corresponds to the number of best practices your local government has implemented (up to a total of 3).
Best practices for commercial benchmarking and energy use transparency policies include any of the following:
• </t>
        </r>
        <r>
          <rPr>
            <b/>
            <sz val="10"/>
            <color indexed="81"/>
            <rFont val="Tahoma"/>
            <family val="2"/>
          </rPr>
          <t>Training and guidance.</t>
        </r>
        <r>
          <rPr>
            <sz val="10"/>
            <color indexed="81"/>
            <rFont val="Tahoma"/>
            <family val="2"/>
          </rPr>
          <t xml:space="preserve"> Benchmarking help centers or hotlines, training seminars, and/or the posting of guidance documents for building managers and owners 
• </t>
        </r>
        <r>
          <rPr>
            <b/>
            <sz val="10"/>
            <color indexed="81"/>
            <rFont val="Tahoma"/>
            <family val="2"/>
          </rPr>
          <t>Enforcement strategy.</t>
        </r>
        <r>
          <rPr>
            <sz val="10"/>
            <color indexed="81"/>
            <rFont val="Tahoma"/>
            <family val="2"/>
          </rPr>
          <t xml:space="preserve"> A set schedule with compliance deadlines, fines for noncompliance, and/or a mechanism for enforcement
</t>
        </r>
        <r>
          <rPr>
            <b/>
            <sz val="10"/>
            <color indexed="81"/>
            <rFont val="Tahoma"/>
            <family val="2"/>
          </rPr>
          <t xml:space="preserve">• Reporting. </t>
        </r>
        <r>
          <rPr>
            <sz val="10"/>
            <color indexed="81"/>
            <rFont val="Tahoma"/>
            <family val="2"/>
          </rPr>
          <t xml:space="preserve">A community-wide report providing compliance data and/or analysis of building energy use data
• </t>
        </r>
        <r>
          <rPr>
            <b/>
            <sz val="10"/>
            <color indexed="81"/>
            <rFont val="Tahoma"/>
            <family val="2"/>
          </rPr>
          <t xml:space="preserve">Public disclosure of energy use data. </t>
        </r>
        <r>
          <rPr>
            <sz val="10"/>
            <color indexed="81"/>
            <rFont val="Tahoma"/>
            <family val="2"/>
          </rPr>
          <t>A requirement for commercial buildings to publicly disclose energy data in an online document or database</t>
        </r>
        <r>
          <rPr>
            <sz val="8"/>
            <color indexed="81"/>
            <rFont val="Tahoma"/>
            <family val="2"/>
          </rPr>
          <t xml:space="preserve">
</t>
        </r>
      </text>
    </comment>
    <comment ref="B52" authorId="0" shapeId="0">
      <text>
        <r>
          <rPr>
            <b/>
            <sz val="10"/>
            <color indexed="81"/>
            <rFont val="Tahoma"/>
            <family val="2"/>
          </rPr>
          <t>ACEEE:</t>
        </r>
        <r>
          <rPr>
            <sz val="10"/>
            <color indexed="81"/>
            <rFont val="Tahoma"/>
            <family val="2"/>
          </rPr>
          <t xml:space="preserve">
This question will populate only if your city cannot adopt a benchmarking policy. 
</t>
        </r>
      </text>
    </comment>
    <comment ref="B53" authorId="0" shapeId="0">
      <text>
        <r>
          <rPr>
            <b/>
            <sz val="10"/>
            <color indexed="81"/>
            <rFont val="Tahoma"/>
            <family val="2"/>
          </rPr>
          <t>ACEEE:</t>
        </r>
        <r>
          <rPr>
            <sz val="10"/>
            <color indexed="81"/>
            <rFont val="Tahoma"/>
            <family val="2"/>
          </rPr>
          <t xml:space="preserve">
Program metrics can include best practices, guidance, and training resources. You can earn credit for this metric only if your city cannot adopt a benchmarking policy. </t>
        </r>
      </text>
    </comment>
    <comment ref="B54" authorId="0" shapeId="0">
      <text>
        <r>
          <rPr>
            <b/>
            <sz val="10"/>
            <color indexed="81"/>
            <rFont val="Tahoma"/>
            <family val="2"/>
          </rPr>
          <t>ACEEE:</t>
        </r>
        <r>
          <rPr>
            <sz val="10"/>
            <color indexed="81"/>
            <rFont val="Tahoma"/>
            <family val="2"/>
          </rPr>
          <t xml:space="preserve">
Residential benchmarking, rating, and energy use transparency policies generally take one of four forms: 
(1) disclosure of utility bills
(2) disclosure of energy efficiency features
(3) energy audit requirements and disclosure of audit report results
(4) benchmarking
</t>
        </r>
      </text>
    </comment>
    <comment ref="F54" authorId="0" shapeId="0">
      <text>
        <r>
          <rPr>
            <b/>
            <sz val="10"/>
            <color indexed="81"/>
            <rFont val="Tahoma"/>
            <family val="2"/>
          </rPr>
          <t>ACEEE:</t>
        </r>
        <r>
          <rPr>
            <sz val="10"/>
            <color indexed="81"/>
            <rFont val="Tahoma"/>
            <family val="2"/>
          </rPr>
          <t xml:space="preserve">
After clicking the link, download the map that displays all benchmarking and transparency requirements that have been passed as of January 2017.  
If your city has passed a residential benchmarking policy more recently and it is not reflected on the map, please refer to it. </t>
        </r>
      </text>
    </comment>
    <comment ref="B55" authorId="0" shapeId="0">
      <text>
        <r>
          <rPr>
            <b/>
            <sz val="10"/>
            <color indexed="81"/>
            <rFont val="Tahoma"/>
            <family val="2"/>
          </rPr>
          <t>ACEEE:</t>
        </r>
        <r>
          <rPr>
            <sz val="10"/>
            <color indexed="81"/>
            <rFont val="Tahoma"/>
            <family val="2"/>
          </rPr>
          <t xml:space="preserve">
Cities with authority to pass these types of ordinances but have not yet done so can receive credit for a benchmarking program such as Central Florida Energy Efficiency Alliance's (CFEEA) Kilowatt Crackdown Challenge. 
</t>
        </r>
      </text>
    </comment>
    <comment ref="B57" authorId="0" shapeId="0">
      <text>
        <r>
          <rPr>
            <b/>
            <sz val="10"/>
            <color indexed="81"/>
            <rFont val="Tahoma"/>
            <family val="2"/>
          </rPr>
          <t>ACEEE:</t>
        </r>
        <r>
          <rPr>
            <sz val="10"/>
            <color indexed="81"/>
            <rFont val="Tahoma"/>
            <family val="2"/>
          </rPr>
          <t xml:space="preserve">
In D56, please select the number that corresponds to the number of best practices your local government has implemented (up to a total of 3).
Best practices for residential benchmarking and energy use transparency policies include any of the following:
• </t>
        </r>
        <r>
          <rPr>
            <b/>
            <sz val="10"/>
            <color indexed="81"/>
            <rFont val="Tahoma"/>
            <family val="2"/>
          </rPr>
          <t>Training and guidance.</t>
        </r>
        <r>
          <rPr>
            <sz val="10"/>
            <color indexed="81"/>
            <rFont val="Tahoma"/>
            <family val="2"/>
          </rPr>
          <t xml:space="preserve"> Benchmarking help centers or hotlines, training seminars, and/or the posting of guidance documents for building managers and owners 
• </t>
        </r>
        <r>
          <rPr>
            <b/>
            <sz val="10"/>
            <color indexed="81"/>
            <rFont val="Tahoma"/>
            <family val="2"/>
          </rPr>
          <t>Enforcement strategy.</t>
        </r>
        <r>
          <rPr>
            <sz val="10"/>
            <color indexed="81"/>
            <rFont val="Tahoma"/>
            <family val="2"/>
          </rPr>
          <t xml:space="preserve"> A set schedule with compliance deadlines, fines for noncompliance, and/or a mechanism for enforcement
</t>
        </r>
        <r>
          <rPr>
            <b/>
            <sz val="10"/>
            <color indexed="81"/>
            <rFont val="Tahoma"/>
            <family val="2"/>
          </rPr>
          <t xml:space="preserve">• Reporting. </t>
        </r>
        <r>
          <rPr>
            <sz val="10"/>
            <color indexed="81"/>
            <rFont val="Tahoma"/>
            <family val="2"/>
          </rPr>
          <t xml:space="preserve">A community-wide report providing compliance data and/or analysis of building energy use data
• </t>
        </r>
        <r>
          <rPr>
            <b/>
            <sz val="10"/>
            <color indexed="81"/>
            <rFont val="Tahoma"/>
            <family val="2"/>
          </rPr>
          <t xml:space="preserve">Public disclosure of energy use data. </t>
        </r>
        <r>
          <rPr>
            <sz val="10"/>
            <color indexed="81"/>
            <rFont val="Tahoma"/>
            <family val="2"/>
          </rPr>
          <t>A requirement for residential</t>
        </r>
        <r>
          <rPr>
            <b/>
            <i/>
            <sz val="10"/>
            <color indexed="81"/>
            <rFont val="Tahoma"/>
            <family val="2"/>
          </rPr>
          <t xml:space="preserve"> </t>
        </r>
        <r>
          <rPr>
            <sz val="10"/>
            <color indexed="81"/>
            <rFont val="Tahoma"/>
            <family val="2"/>
          </rPr>
          <t>buildings to publicly disclose energy data in an online document or database</t>
        </r>
        <r>
          <rPr>
            <sz val="8"/>
            <color indexed="81"/>
            <rFont val="Tahoma"/>
            <family val="2"/>
          </rPr>
          <t xml:space="preserve">
</t>
        </r>
      </text>
    </comment>
  </commentList>
</comments>
</file>

<file path=xl/comments4.xml><?xml version="1.0" encoding="utf-8"?>
<comments xmlns="http://schemas.openxmlformats.org/spreadsheetml/2006/main">
  <authors>
    <author>ACEEE</author>
  </authors>
  <commentList>
    <comment ref="B12" authorId="0" shapeId="0">
      <text>
        <r>
          <rPr>
            <b/>
            <sz val="10"/>
            <color indexed="81"/>
            <rFont val="Tahoma"/>
            <family val="2"/>
          </rPr>
          <t>ACEEE:</t>
        </r>
        <r>
          <rPr>
            <sz val="10"/>
            <color indexed="81"/>
            <rFont val="Tahoma"/>
            <family val="2"/>
          </rPr>
          <t xml:space="preserve">
Communities' ability to influence utility efficiency spending and to require utilities to invest in energy efficiency varies based on whether the utilities serving those communities are municipally owned (munis) or investor-owned (IOUs). As a result, we score communities differently depending on whether they are served by an IOU or a muni.   </t>
        </r>
      </text>
    </comment>
    <comment ref="B13" authorId="0" shapeId="0">
      <text>
        <r>
          <rPr>
            <b/>
            <sz val="10"/>
            <color indexed="81"/>
            <rFont val="Tahoma"/>
            <family val="2"/>
          </rPr>
          <t>ACEEE:</t>
        </r>
        <r>
          <rPr>
            <sz val="10"/>
            <color indexed="81"/>
            <rFont val="Tahoma"/>
            <family val="2"/>
          </rPr>
          <t xml:space="preserve">
As with electric utilities, communities' ability to influence utility efficiency spending and to require utilities to invest in energy efficiency varies based on whether the utilities serving those communities are municipally owned (munis) or investor-owned (IOUs). As a result, we score communities differently depending on whether they are served by an IOU or a muni.    </t>
        </r>
      </text>
    </comment>
    <comment ref="E14" authorId="0" shapeId="0">
      <text>
        <r>
          <rPr>
            <b/>
            <sz val="10"/>
            <color indexed="81"/>
            <rFont val="Tahoma"/>
            <family val="2"/>
          </rPr>
          <t xml:space="preserve">ACEEE:
</t>
        </r>
        <r>
          <rPr>
            <sz val="10"/>
            <color indexed="81"/>
            <rFont val="Tahoma"/>
            <family val="2"/>
          </rPr>
          <t xml:space="preserve">In order to ensure accuracy, we recommend that you collect this information directly from your utility through planning documents, commission websites, or personal communication. If your utility does not have the data available, then please follow these instructions: 
Once you have clicked through to the EIA website, select the Form 826 data for 2015 by clicking on  "2015" under "Sales and revenue" on the right side of the web page. Once data are downloaded, you will find total revenue ($ thousands) reported by your utility in column "T" of the worksheet. </t>
        </r>
      </text>
    </comment>
    <comment ref="E15" authorId="0" shapeId="0">
      <text>
        <r>
          <rPr>
            <b/>
            <sz val="10"/>
            <color indexed="81"/>
            <rFont val="Tahoma"/>
            <family val="2"/>
          </rPr>
          <t>ACEEE:</t>
        </r>
        <r>
          <rPr>
            <sz val="10"/>
            <color indexed="81"/>
            <rFont val="Tahoma"/>
            <family val="2"/>
          </rPr>
          <t xml:space="preserve">
In order to ensure accuracy, we recommend that you collect this information directly from your utility through planning documents, commission websites, or personal communication. If your utility does not have the data available, then please follow these instructions: 
Once you have clicked through to the EIA website, select the Form 861 data for 2015 by clicking on "ZIP" near the upper right of the web page.  Once the data are downloaded, open Energy_Efficiency_2015, where you will find your utility's total spending on energy efficiency in coulmns AC and AH under "Reporting Year Incremental Cost." By adding the totals found for your utility in these two columns, you will have the total spending required to answer D15 (Customer Incentives + All Other Costs).</t>
        </r>
      </text>
    </comment>
    <comment ref="E16" authorId="0" shapeId="0">
      <text>
        <r>
          <rPr>
            <b/>
            <sz val="10"/>
            <color indexed="81"/>
            <rFont val="Tahoma"/>
            <family val="2"/>
          </rPr>
          <t>ACEEE:</t>
        </r>
        <r>
          <rPr>
            <sz val="10"/>
            <color indexed="81"/>
            <rFont val="Tahoma"/>
            <family val="2"/>
          </rPr>
          <t xml:space="preserve">
In order to ensure accuracy, we recommend that you collect this data directly from your utility through planning documents, commission websites, or personal communication. If your utility does not have this data available, then please follow these instructions: 
Once you have clicked through to the EIA website, click the drop-down button located next to “Report” and select “176 Types of Operations and Sector Items.” After selecting this report, scroll down on the updated chart until you locate the name of your local gas utility in the “Company Name” column. Once you have located your utility, scroll to the right until you have located the column titled “Residential Total Customers." You also can download the data to an MS Excel file by clicking the icon next to "Download" on the top right of the chart. </t>
        </r>
      </text>
    </comment>
    <comment ref="E17" authorId="0" shapeId="0">
      <text>
        <r>
          <rPr>
            <b/>
            <sz val="10"/>
            <color indexed="81"/>
            <rFont val="Tahoma"/>
            <family val="2"/>
          </rPr>
          <t xml:space="preserve">ACEEE:
</t>
        </r>
        <r>
          <rPr>
            <sz val="10"/>
            <color indexed="81"/>
            <rFont val="Tahoma"/>
            <family val="2"/>
          </rPr>
          <t xml:space="preserve">Because there is no centralized source for this data, users must compile research on the major natural gas utility that serves the community. First, search the state public utility commission (PUC) or public service commission (PSC) website for natural gas utility energy efficiency reports, which are generally required to be filed yearly. To do this, go to the PUC or PSC website and search through either the official filings or proceedings for these reports. Key search terms include “natural gas energy efficiency spending.” Another way to get this information is to search the utility’s website directly for any public energy efficiency reports or sustainability reports. It should be noted that this piece of data can be difficult to obtain; ACEEE consulted with local government and utility staff to get this information for peer communities. </t>
        </r>
      </text>
    </comment>
    <comment ref="E18" authorId="0" shapeId="0">
      <text>
        <r>
          <rPr>
            <b/>
            <sz val="10"/>
            <color indexed="81"/>
            <rFont val="Tahoma"/>
            <family val="2"/>
          </rPr>
          <t xml:space="preserve">ACEEE:
</t>
        </r>
        <r>
          <rPr>
            <sz val="10"/>
            <color indexed="81"/>
            <rFont val="Tahoma"/>
            <family val="2"/>
          </rPr>
          <t xml:space="preserve">In order to ensure accuracy, we recommend that you collect this information directly from your utility through planning documents, commission websites, or personal communication. If your utility does not have the data available, then please follow these instructions: </t>
        </r>
        <r>
          <rPr>
            <b/>
            <sz val="10"/>
            <color indexed="81"/>
            <rFont val="Tahoma"/>
            <family val="2"/>
          </rPr>
          <t xml:space="preserve">
</t>
        </r>
        <r>
          <rPr>
            <sz val="10"/>
            <color indexed="81"/>
            <rFont val="Tahoma"/>
            <family val="2"/>
          </rPr>
          <t xml:space="preserve">Once you have clicked through to the EIA website, select the Form 826 data for 2015 by clicking on  "2016" under "Sales and revenue" on the right side of the web page. Once the data are downloaded, you will find total sales (in Mwh) for the industrial, residential, and commercial sectors in column U. </t>
        </r>
      </text>
    </comment>
    <comment ref="E19" authorId="0" shapeId="0">
      <text>
        <r>
          <rPr>
            <b/>
            <sz val="10"/>
            <color indexed="81"/>
            <rFont val="Tahoma"/>
            <family val="2"/>
          </rPr>
          <t>ACEEE:</t>
        </r>
        <r>
          <rPr>
            <sz val="10"/>
            <color indexed="81"/>
            <rFont val="Tahoma"/>
            <family val="2"/>
          </rPr>
          <t xml:space="preserve">
In order to ensure accuracy, we recommend that you collect this information directly from your utility through planning documents, commission websites, or personal communication. Please look for net incremental savings if you find the data this way.  If your utility does not have the data available, then please follow these instructions: 
Once you have clicked through to the EIA website, select the Form 861 data for 2015 by clicking on the link on the upper right of the webpage. Once the data are downloaded, open Energy_Efficiency_2015, where you will find total electric savings for your utility in column I under "Reporting Year Incremental Annual Savings." These savings are reported as gross savings. Multiply these savings by a factor of 0.817 to convert the EIA data to net savings. Enter the net savings into cell D19. 
If you are unable to gather this information or have any questions, please contact us at cityscorecard@aceee.org. </t>
        </r>
      </text>
    </comment>
    <comment ref="E20" authorId="0" shapeId="0">
      <text>
        <r>
          <rPr>
            <b/>
            <sz val="10"/>
            <color indexed="81"/>
            <rFont val="Tahoma"/>
            <family val="2"/>
          </rPr>
          <t>ACEEE:</t>
        </r>
        <r>
          <rPr>
            <sz val="10"/>
            <color indexed="81"/>
            <rFont val="Tahoma"/>
            <family val="2"/>
          </rPr>
          <t xml:space="preserve">
In order to ensure accuracy, we recommend that you collect this information directly from your utility through planning documents, commission websites, or personal communication. If your utility does not have the data available, then please follow these instructions: 
Once you have clicked the link, you will be brought to the Natural Gas Annual Respondent Query System. To the right of "Report:" in the top left-hand part of the page, you will see a drop-down menu with 176 Custom Report (user-defined) selected. If not already preselected, you will have to click the drop-down and select this option. Next, click the "Choose Items" button next to the drop-down; this will open up a list of items to be displayed in the table. Please select [10.1] "Residential Sales Volume" and [10.2] "Commercial Sales Volume." In order to highlight these two items, you will have to hold down the Ctrl button while clicking on each one. 
Once the data have finished loading, you can either download it in MS Excel format by clickling on the Excel icon at the top right of the table or continue to view it within the EIA website. Either way, you should sort the data by your Area (first column) and/or the Company (second column) that delivers your natural gas. After sorting, add the 2015 residential and commercial sales volume and copy it in cell D20. 
If you are unable to gather this information or have any questions, please contact us at cityscorecard@aceee.org. 
</t>
        </r>
      </text>
    </comment>
    <comment ref="E21" authorId="0" shapeId="0">
      <text>
        <r>
          <rPr>
            <b/>
            <sz val="10"/>
            <color indexed="81"/>
            <rFont val="Tahoma"/>
            <family val="2"/>
          </rPr>
          <t xml:space="preserve">ACEEE:
</t>
        </r>
        <r>
          <rPr>
            <sz val="10"/>
            <color indexed="81"/>
            <rFont val="Tahoma"/>
            <family val="2"/>
          </rPr>
          <t xml:space="preserve">Because there is no centralized source for this data, users must compile research on the major natural gas utility that serves the community.  First, search the state public utility commission (PUC) or public service commission (PSC) website for natural gas utility energy efficiency reports, which are generally required to be filed yearly.  To do this, go to the PUC or PSC website and search through either the official filings or proceedings for these reports.  Key search terms include “natural gas energy efficiency savings.”  Another avenue to get this data is to search the utility’s website directly for any public energy efficiency reports or sustainability reports.  It should be noted that this is a difficult piece of data to ascertain and ACEEE consulted with local government and utility staff to receive this information for peer communities. </t>
        </r>
      </text>
    </comment>
    <comment ref="B24" authorId="0" shapeId="0">
      <text>
        <r>
          <rPr>
            <b/>
            <sz val="10"/>
            <color indexed="81"/>
            <rFont val="Tahoma"/>
            <family val="2"/>
          </rPr>
          <t>ACEEE:</t>
        </r>
        <r>
          <rPr>
            <sz val="10"/>
            <color indexed="81"/>
            <rFont val="Tahoma"/>
            <family val="2"/>
          </rPr>
          <t xml:space="preserve">
If applicable, the answer is automatically calculated from the preliminary utility information you provided above, but please select the description in column D that best fits the answer.</t>
        </r>
      </text>
    </comment>
    <comment ref="B25" authorId="0" shapeId="0">
      <text>
        <r>
          <rPr>
            <b/>
            <sz val="10"/>
            <color indexed="81"/>
            <rFont val="Tahoma"/>
            <family val="2"/>
          </rPr>
          <t>ACEEE:</t>
        </r>
        <r>
          <rPr>
            <sz val="10"/>
            <color indexed="81"/>
            <rFont val="Tahoma"/>
            <family val="2"/>
          </rPr>
          <t xml:space="preserve">
If applicable, the answer is automatically calculated from the preliminary information you provided above, but please select the description in column D that best fits the answer.</t>
        </r>
      </text>
    </comment>
    <comment ref="B26" authorId="0" shapeId="0">
      <text>
        <r>
          <rPr>
            <b/>
            <sz val="10"/>
            <color indexed="81"/>
            <rFont val="Tahoma"/>
            <family val="2"/>
          </rPr>
          <t>ACEEE:</t>
        </r>
        <r>
          <rPr>
            <sz val="10"/>
            <color indexed="81"/>
            <rFont val="Tahoma"/>
            <family val="2"/>
          </rPr>
          <t xml:space="preserve">
Communities have less direct control over the level of spending by IOUs. Therefore, when communities are served by an IOU, we award two-thirds of the available points based on spending and one-third based on city–utility partnerships. Cities earn a full point if the city and utility have a formal partnership in the form of a jointly developed or administered energy-saving strategy, plan, or agreement. Minneapolis’s Clean Energy Partnership―among the city of Minneapolis, Xcel Energy, and CenterPoint Energy―is a leading example of a formal partnership to advance clean energy and energy efficiency policies.
</t>
        </r>
      </text>
    </comment>
    <comment ref="B30" authorId="0" shapeId="0">
      <text>
        <r>
          <rPr>
            <b/>
            <sz val="10"/>
            <color indexed="81"/>
            <rFont val="Tahoma"/>
            <family val="2"/>
          </rPr>
          <t>ACEEE:</t>
        </r>
        <r>
          <rPr>
            <sz val="10"/>
            <color indexed="81"/>
            <rFont val="Tahoma"/>
            <family val="2"/>
          </rPr>
          <t xml:space="preserve">
If applicable, the answer is automatically calculated from the preliminary information you provide above, but please select the description in column D that best fits the answer.</t>
        </r>
      </text>
    </comment>
    <comment ref="B31" authorId="0" shapeId="0">
      <text>
        <r>
          <rPr>
            <b/>
            <sz val="10"/>
            <color indexed="81"/>
            <rFont val="Tahoma"/>
            <family val="2"/>
          </rPr>
          <t>ACEEE:</t>
        </r>
        <r>
          <rPr>
            <sz val="10"/>
            <color indexed="81"/>
            <rFont val="Tahoma"/>
            <family val="2"/>
          </rPr>
          <t xml:space="preserve">
If applicable, the answer is automatically calculated from the preliminary information you provide above, but please select the description in column D that best fits the answer.</t>
        </r>
      </text>
    </comment>
    <comment ref="B32" authorId="0" shapeId="0">
      <text>
        <r>
          <rPr>
            <b/>
            <sz val="10"/>
            <color indexed="81"/>
            <rFont val="Tahoma"/>
            <family val="2"/>
          </rPr>
          <t>ACEEE:</t>
        </r>
        <r>
          <rPr>
            <sz val="10"/>
            <color indexed="81"/>
            <rFont val="Tahoma"/>
            <family val="2"/>
          </rPr>
          <t xml:space="preserve">
As with electric utilities, communities have less direct control over the level of spending of IOUs. Therefore, when communities are served by an IOU, they can earn points based on city–utility partnerships. Minneapolis’s Clean Energy Partnership―among the city of Minneapolis, Xcel Energy, and CenterPoint Energy―is a leading example of a formal partnership to advance clean energy and energy efficiency policies. In contrast to the electric spending metric, we do not award credit for collaborations that are not part of a formal partnership.</t>
        </r>
      </text>
    </comment>
    <comment ref="B36" authorId="0" shapeId="0">
      <text>
        <r>
          <rPr>
            <b/>
            <sz val="10"/>
            <color indexed="81"/>
            <rFont val="Tahoma"/>
            <family val="2"/>
          </rPr>
          <t>ACEEE:</t>
        </r>
        <r>
          <rPr>
            <sz val="10"/>
            <color indexed="81"/>
            <rFont val="Tahoma"/>
            <family val="2"/>
          </rPr>
          <t xml:space="preserve">
The answer is automatically calculated from the preliminary information you provided above, but please select the description in column D that best fits the answer.</t>
        </r>
      </text>
    </comment>
    <comment ref="B37" authorId="0" shapeId="0">
      <text>
        <r>
          <rPr>
            <b/>
            <sz val="10"/>
            <color indexed="81"/>
            <rFont val="Tahoma"/>
            <family val="2"/>
          </rPr>
          <t>ACEEE:</t>
        </r>
        <r>
          <rPr>
            <sz val="10"/>
            <color indexed="81"/>
            <rFont val="Tahoma"/>
            <family val="2"/>
          </rPr>
          <t xml:space="preserve">
The answer is automatically calculated from the preliminary information you provided above, but please select the description in column D that best fits the answer.</t>
        </r>
      </text>
    </comment>
    <comment ref="B41" authorId="0" shapeId="0">
      <text>
        <r>
          <rPr>
            <b/>
            <sz val="10"/>
            <color indexed="81"/>
            <rFont val="Tahoma"/>
            <family val="2"/>
          </rPr>
          <t>ACEEE:</t>
        </r>
        <r>
          <rPr>
            <sz val="10"/>
            <color indexed="81"/>
            <rFont val="Tahoma"/>
            <family val="2"/>
          </rPr>
          <t xml:space="preserve">
This can include standalone multifamily programs that offer direct install services, equipment, and product rebates. </t>
        </r>
      </text>
    </comment>
    <comment ref="B42" authorId="0" shapeId="0">
      <text>
        <r>
          <rPr>
            <b/>
            <sz val="10"/>
            <color indexed="81"/>
            <rFont val="Tahoma"/>
            <family val="2"/>
          </rPr>
          <t>ACEEE:</t>
        </r>
        <r>
          <rPr>
            <sz val="10"/>
            <color indexed="81"/>
            <rFont val="Tahoma"/>
            <family val="2"/>
          </rPr>
          <t xml:space="preserve">
Comprehensive programs are those that offer whole-building retrofits (for units and common areas).
 </t>
        </r>
      </text>
    </comment>
    <comment ref="B44" authorId="0" shapeId="0">
      <text>
        <r>
          <rPr>
            <b/>
            <sz val="10"/>
            <color indexed="81"/>
            <rFont val="Tahoma"/>
            <family val="2"/>
          </rPr>
          <t>ACEEE:</t>
        </r>
        <r>
          <rPr>
            <sz val="10"/>
            <color indexed="81"/>
            <rFont val="Tahoma"/>
            <family val="2"/>
          </rPr>
          <t xml:space="preserve">
Comprehensive programs are those that offer whole-building retrofits (for units and common areas).
 </t>
        </r>
      </text>
    </comment>
    <comment ref="B47" authorId="0" shapeId="0">
      <text>
        <r>
          <rPr>
            <b/>
            <sz val="10"/>
            <color indexed="81"/>
            <rFont val="Tahoma"/>
            <family val="2"/>
          </rPr>
          <t>ACEEE:</t>
        </r>
        <r>
          <rPr>
            <sz val="10"/>
            <color indexed="81"/>
            <rFont val="Tahoma"/>
            <family val="2"/>
          </rPr>
          <t xml:space="preserve">
Comprehensive programs are those that go beyond an audit or education materials and provide direct install measures, new appliances, or weatherization upgrades for participating homes.
 </t>
        </r>
      </text>
    </comment>
    <comment ref="B52" authorId="0" shapeId="0">
      <text>
        <r>
          <rPr>
            <b/>
            <sz val="10"/>
            <color indexed="81"/>
            <rFont val="Tahoma"/>
            <family val="2"/>
          </rPr>
          <t>ACEEE:</t>
        </r>
        <r>
          <rPr>
            <sz val="10"/>
            <color indexed="81"/>
            <rFont val="Tahoma"/>
            <family val="2"/>
          </rPr>
          <t xml:space="preserve">
Because energy usage information enables better energy management, utilities' provision of energy data to customers, building owners, and local planners in an accessible, usable format is key. We award credit to local governments that advocate directly to utilities and/or state regulatory commissions for policy improvements related to data access.</t>
        </r>
        <r>
          <rPr>
            <sz val="8"/>
            <color indexed="81"/>
            <rFont val="Tahoma"/>
            <family val="2"/>
          </rPr>
          <t xml:space="preserve">
</t>
        </r>
      </text>
    </comment>
    <comment ref="F53" authorId="0" shapeId="0">
      <text>
        <r>
          <rPr>
            <b/>
            <sz val="10"/>
            <color indexed="81"/>
            <rFont val="Tahoma"/>
            <family val="2"/>
          </rPr>
          <t>ACEEE:</t>
        </r>
        <r>
          <rPr>
            <sz val="10"/>
            <color indexed="81"/>
            <rFont val="Tahoma"/>
            <family val="2"/>
          </rPr>
          <t xml:space="preserve">
We recommend that you contact your utility or search through your utility's website to determine if they use Green Button Online. As an alternative, you can check this webpage: https://energy.gov/data/green-button. However, there is no indication that this webpage is updated regularly. </t>
        </r>
      </text>
    </comment>
    <comment ref="B54" authorId="0" shapeId="0">
      <text>
        <r>
          <rPr>
            <b/>
            <sz val="10"/>
            <color indexed="81"/>
            <rFont val="Tahoma"/>
            <family val="2"/>
          </rPr>
          <t>ACEEE:</t>
        </r>
        <r>
          <rPr>
            <sz val="10"/>
            <color indexed="81"/>
            <rFont val="Tahoma"/>
            <family val="2"/>
          </rPr>
          <t xml:space="preserve">
Communities receive full points if utilities participate in ENERGY STAR’s Automated Benchmarking Service, which uploads data from multiple meters directly to the ENERGY STAR Portfolio Manager. </t>
        </r>
        <r>
          <rPr>
            <sz val="8"/>
            <color indexed="81"/>
            <rFont val="Tahoma"/>
            <family val="2"/>
          </rPr>
          <t xml:space="preserve">
</t>
        </r>
      </text>
    </comment>
    <comment ref="F54" authorId="0" shapeId="0">
      <text>
        <r>
          <rPr>
            <b/>
            <sz val="10"/>
            <color indexed="81"/>
            <rFont val="Tahoma"/>
            <family val="2"/>
          </rPr>
          <t>ACEEE:</t>
        </r>
        <r>
          <rPr>
            <sz val="10"/>
            <color indexed="81"/>
            <rFont val="Tahoma"/>
            <family val="2"/>
          </rPr>
          <t xml:space="preserve">
Follow the link to the “Directory of Energy Efficiency Programs Leveraging ENERGY STAR” to see if your community’s primary utility or another sponsor in the community is making automated commercial benchmarking available. If the utility or other sponsor is doing so, the community earns full points. If not, the user can do more research to determine whether benchmarking through ENERGY STAR or another service is available.
</t>
        </r>
      </text>
    </comment>
    <comment ref="B59" authorId="0" shapeId="0">
      <text>
        <r>
          <rPr>
            <b/>
            <sz val="10"/>
            <color indexed="81"/>
            <rFont val="Tahoma"/>
            <family val="2"/>
          </rPr>
          <t>ACEEE:</t>
        </r>
        <r>
          <rPr>
            <sz val="10"/>
            <color indexed="81"/>
            <rFont val="Tahoma"/>
            <family val="2"/>
          </rPr>
          <t xml:space="preserve">
Examples of  green infrastructure projects include:
• green roofs 
• tree planting
• permeable pavements
</t>
        </r>
        <r>
          <rPr>
            <sz val="8"/>
            <color indexed="81"/>
            <rFont val="Tahoma"/>
            <family val="2"/>
          </rPr>
          <t xml:space="preserve">
</t>
        </r>
      </text>
    </comment>
    <comment ref="B61" authorId="0" shapeId="0">
      <text>
        <r>
          <rPr>
            <b/>
            <sz val="10"/>
            <color indexed="81"/>
            <rFont val="Tahoma"/>
            <family val="2"/>
          </rPr>
          <t>ACEEE:</t>
        </r>
        <r>
          <rPr>
            <sz val="10"/>
            <color indexed="81"/>
            <rFont val="Tahoma"/>
            <family val="2"/>
          </rPr>
          <t xml:space="preserve">
Non-revenue water is water that is lost after being treated and before it reaches the customer. This tends to happen due to leaks in the system.
</t>
        </r>
        <r>
          <rPr>
            <sz val="8"/>
            <color indexed="81"/>
            <rFont val="Tahoma"/>
            <family val="2"/>
          </rPr>
          <t xml:space="preserve">
</t>
        </r>
      </text>
    </comment>
  </commentList>
</comments>
</file>

<file path=xl/comments5.xml><?xml version="1.0" encoding="utf-8"?>
<comments xmlns="http://schemas.openxmlformats.org/spreadsheetml/2006/main">
  <authors>
    <author>ACEEE</author>
  </authors>
  <commentList>
    <comment ref="E14" authorId="0" shapeId="0">
      <text>
        <r>
          <rPr>
            <b/>
            <sz val="8"/>
            <color indexed="81"/>
            <rFont val="Tahoma"/>
            <family val="2"/>
          </rPr>
          <t>ACEEE:</t>
        </r>
        <r>
          <rPr>
            <sz val="8"/>
            <color indexed="81"/>
            <rFont val="Tahoma"/>
            <family val="2"/>
          </rPr>
          <t xml:space="preserve">
</t>
        </r>
        <r>
          <rPr>
            <sz val="10"/>
            <color indexed="81"/>
            <rFont val="Tahoma"/>
            <family val="2"/>
          </rPr>
          <t xml:space="preserve">Before clicking through to the NTD website, please use a web search to identify the name(s) of the public transportation system(s) that serve your locality. After you identify them, click through to the website, and then click the link "TS1.1TimeSeriesOpCapFundingSummary.xls." Once the file is open, please click through to the "Total" tab and locate the public transportation system that serves your locality in column B. Then scroll over to find your city's five most recent years of data (it will likely be 2011–2015) and calculate the average funding received. If your community is served by multiple transportation systems, please pull funding data for the one with the greatest funding. Enter this number in cell D14. 
</t>
        </r>
      </text>
    </comment>
    <comment ref="E15" authorId="0" shapeId="0">
      <text>
        <r>
          <rPr>
            <b/>
            <sz val="8"/>
            <color indexed="81"/>
            <rFont val="Tahoma"/>
            <family val="2"/>
          </rPr>
          <t>ACEEE:</t>
        </r>
        <r>
          <rPr>
            <sz val="8"/>
            <color indexed="81"/>
            <rFont val="Tahoma"/>
            <family val="2"/>
          </rPr>
          <t xml:space="preserve">
</t>
        </r>
        <r>
          <rPr>
            <sz val="10"/>
            <color indexed="81"/>
            <rFont val="Tahoma"/>
            <family val="2"/>
          </rPr>
          <t xml:space="preserve">After clicking the link, please locate your city in the table displaying population estimates for years 2010 through 2016. Once you locate your city, find the corresponding population estimate for 2016 or a more recent year and record that in cell D15.  </t>
        </r>
      </text>
    </comment>
    <comment ref="B23" authorId="0" shapeId="0">
      <text>
        <r>
          <rPr>
            <b/>
            <sz val="10"/>
            <color indexed="81"/>
            <rFont val="Tahoma"/>
            <family val="2"/>
          </rPr>
          <t>ACEEE:</t>
        </r>
        <r>
          <rPr>
            <sz val="10"/>
            <color indexed="81"/>
            <rFont val="Tahoma"/>
            <family val="2"/>
          </rPr>
          <t xml:space="preserve">
To earn full credit, your city must have a standalone transportation plan. A sustainable transportation plan does not have to contain quantifiable VMT or GHG reduction targets, but it must outline strategies or contain an overarching goal of increasing transportation efficiency. </t>
        </r>
      </text>
    </comment>
    <comment ref="B24" authorId="0" shapeId="0">
      <text>
        <r>
          <rPr>
            <b/>
            <sz val="10"/>
            <color indexed="81"/>
            <rFont val="Tahoma"/>
            <family val="2"/>
          </rPr>
          <t>ACEEE:</t>
        </r>
        <r>
          <rPr>
            <sz val="10"/>
            <color indexed="81"/>
            <rFont val="Tahoma"/>
            <family val="2"/>
          </rPr>
          <t xml:space="preserve">
These targets do not have to be part of a standalone transportation plan. For example, if your community has a goal within a climate action plan to reduce greenhouse gas emissions from the transportation sector by 30% by 2020  you would earn full credit here. </t>
        </r>
      </text>
    </comment>
    <comment ref="B29" authorId="0" shapeId="0">
      <text>
        <r>
          <rPr>
            <b/>
            <sz val="10"/>
            <color indexed="81"/>
            <rFont val="Tahoma"/>
            <family val="2"/>
          </rPr>
          <t>ACEEE:</t>
        </r>
        <r>
          <rPr>
            <sz val="10"/>
            <color indexed="81"/>
            <rFont val="Tahoma"/>
            <family val="2"/>
          </rPr>
          <t xml:space="preserve">
Conventional zoning codes often have minimum parking requirements that call for one or more on-site parking spaces per housing unit for all occupied units, and a certain number of spaces for commercial and institutional buildings. These requirements claim significant surface area and drive up development costs, which prevent denser, more-compact development from flourishing. Communities receive points if they reduce or remove these parking minimums.  </t>
        </r>
      </text>
    </comment>
    <comment ref="B30" authorId="0" shapeId="0">
      <text>
        <r>
          <rPr>
            <b/>
            <sz val="10"/>
            <color indexed="81"/>
            <rFont val="Tahoma"/>
            <family val="2"/>
          </rPr>
          <t>ACEEE:</t>
        </r>
        <r>
          <rPr>
            <sz val="10"/>
            <color indexed="81"/>
            <rFont val="Tahoma"/>
            <family val="2"/>
          </rPr>
          <t xml:space="preserve">
Cities receive points by enacting zoning codes that lead to investment in and development of mixed-use, walkable communities located near transit facilities. While it isn’t mandatory to have all these features, zoning regulations that support location efficiency should:
• Require mixed-use zones
• Recalibrate zoning standards to allow compact development
• Increase density in city centers and around transit nodes
• Modernize street standards or enact new standards to foster walkable communities
• Designate preferred growth areas 
</t>
        </r>
        <r>
          <rPr>
            <sz val="8"/>
            <color indexed="81"/>
            <rFont val="Tahoma"/>
            <family val="2"/>
          </rPr>
          <t xml:space="preserve">
</t>
        </r>
      </text>
    </comment>
    <comment ref="F30" authorId="0" shapeId="0">
      <text>
        <r>
          <rPr>
            <b/>
            <sz val="10"/>
            <color indexed="81"/>
            <rFont val="Tahoma"/>
            <family val="2"/>
          </rPr>
          <t>ACEEE:</t>
        </r>
        <r>
          <rPr>
            <sz val="10"/>
            <color indexed="81"/>
            <rFont val="Tahoma"/>
            <family val="2"/>
          </rPr>
          <t xml:space="preserve">
Click on the “CS Launch It” button for the study’s results. All communities in the study are listed alphabetically. However, this source is not exhaustive. If your community is not listed, you will need to do some independent research.</t>
        </r>
      </text>
    </comment>
    <comment ref="B31" authorId="0" shapeId="0">
      <text>
        <r>
          <rPr>
            <b/>
            <sz val="10"/>
            <color indexed="81"/>
            <rFont val="Tahoma"/>
            <family val="2"/>
          </rPr>
          <t>ACEEE:</t>
        </r>
        <r>
          <rPr>
            <sz val="10"/>
            <color indexed="81"/>
            <rFont val="Tahoma"/>
            <family val="2"/>
          </rPr>
          <t xml:space="preserve">
Communities earn 0.5 points for each incentive, up to a maximum of 2 points. For column D, please select the number that corresponds to the number of incentives/disclosure policies your community has enacted. 
Examples of financial and nonfinancial incentives to encourage location-efficient development include the following:
• Density bonuses
• Expedited permitting 
• Low-interest loans
• Tax abatement programs</t>
        </r>
        <r>
          <rPr>
            <sz val="8"/>
            <color indexed="81"/>
            <rFont val="Tahoma"/>
            <family val="2"/>
          </rPr>
          <t xml:space="preserve">
</t>
        </r>
      </text>
    </comment>
    <comment ref="B35" authorId="0" shapeId="0">
      <text>
        <r>
          <rPr>
            <b/>
            <sz val="10"/>
            <color indexed="81"/>
            <rFont val="Tahoma"/>
            <family val="2"/>
          </rPr>
          <t>ACEEE:</t>
        </r>
        <r>
          <rPr>
            <sz val="10"/>
            <color indexed="81"/>
            <rFont val="Tahoma"/>
            <family val="2"/>
          </rPr>
          <t xml:space="preserve">
Examples of car sharing include Zipcar and Car2Go. Car sharing enables households to give up owning a first, second, or third vehicle and to rely on other modes of transportation.</t>
        </r>
      </text>
    </comment>
    <comment ref="B36" authorId="0" shapeId="0">
      <text>
        <r>
          <rPr>
            <b/>
            <sz val="10"/>
            <color indexed="81"/>
            <rFont val="Tahoma"/>
            <family val="2"/>
          </rPr>
          <t>ACEEE:</t>
        </r>
        <r>
          <rPr>
            <sz val="10"/>
            <color indexed="81"/>
            <rFont val="Tahoma"/>
            <family val="2"/>
          </rPr>
          <t xml:space="preserve">
Bicycle-sharing programs present commuters and city residents with another alternative to owning or driving a personal vehicle. Bike-sharing systems provide publicly accessible, shared-use bicycles that are available for trips of short to medium distance. Bike sharing increases the ease of urban mobility, increases the use of public transit, and reduces overall energy use within a metropolitan area. Capital Bikeshare in Washington, DC, is an example of a bicycle-sharing program.  </t>
        </r>
      </text>
    </comment>
    <comment ref="F36" authorId="0" shapeId="0">
      <text>
        <r>
          <rPr>
            <b/>
            <sz val="10"/>
            <color indexed="81"/>
            <rFont val="Tahoma"/>
            <family val="2"/>
          </rPr>
          <t>ACEEE:</t>
        </r>
        <r>
          <rPr>
            <sz val="10"/>
            <color indexed="81"/>
            <rFont val="Tahoma"/>
            <family val="2"/>
          </rPr>
          <t xml:space="preserve">
Use the search function on this map to determine whether your community has a bicycle-sharing program. </t>
        </r>
      </text>
    </comment>
    <comment ref="B37" authorId="0" shapeId="0">
      <text>
        <r>
          <rPr>
            <b/>
            <sz val="10"/>
            <color indexed="81"/>
            <rFont val="Tahoma"/>
            <family val="2"/>
          </rPr>
          <t>ACEEE:</t>
        </r>
        <r>
          <rPr>
            <sz val="10"/>
            <color indexed="81"/>
            <rFont val="Tahoma"/>
            <family val="2"/>
          </rPr>
          <t xml:space="preserve">
Modal share targets aim to increase the percentage of trips taken using non-automobile modes of transportation. Cities that commit to long-run modal share targets can change the travel behavior of their communities in favor of modes of transportation that consume less energy. </t>
        </r>
      </text>
    </comment>
    <comment ref="B38" authorId="0" shapeId="0">
      <text>
        <r>
          <rPr>
            <b/>
            <sz val="10"/>
            <color indexed="81"/>
            <rFont val="Tahoma"/>
            <family val="2"/>
          </rPr>
          <t>ACEEE:</t>
        </r>
        <r>
          <rPr>
            <sz val="10"/>
            <color indexed="81"/>
            <rFont val="Tahoma"/>
            <family val="2"/>
          </rPr>
          <t xml:space="preserve">
If your local government has a Complete Streets policy but does not have a NCSC score, please estimate a score based on the NCSC methodology, and contact NCSC to make sure your community is included in its database. Complete Streets plans or guides endorsed by the local government can receive partial credit, up to 1 point, depending on their level of implementation.</t>
        </r>
      </text>
    </comment>
    <comment ref="F38" authorId="0" shapeId="0">
      <text>
        <r>
          <rPr>
            <b/>
            <sz val="10"/>
            <color indexed="81"/>
            <rFont val="Tahoma"/>
            <family val="2"/>
          </rPr>
          <t>ACEEE:</t>
        </r>
        <r>
          <rPr>
            <sz val="10"/>
            <color indexed="81"/>
            <rFont val="Tahoma"/>
            <family val="2"/>
          </rPr>
          <t xml:space="preserve">
Once the Smarth Growth Report is opened, scroll down to “Appendix B: Index of Complete Streets Policy Scores” and locate your community. The total score awarded to the community will be on the far right side of the page.  </t>
        </r>
      </text>
    </comment>
    <comment ref="B42" authorId="0" shapeId="0">
      <text>
        <r>
          <rPr>
            <b/>
            <sz val="10"/>
            <color indexed="81"/>
            <rFont val="Tahoma"/>
            <family val="2"/>
          </rPr>
          <t>ACEEE:</t>
        </r>
        <r>
          <rPr>
            <sz val="10"/>
            <color indexed="81"/>
            <rFont val="Tahoma"/>
            <family val="2"/>
          </rPr>
          <t xml:space="preserve">
The answer is automatically calculated from the preliminary information you provided, but please select the description in column D that best fits the answer.</t>
        </r>
      </text>
    </comment>
    <comment ref="B43" authorId="0" shapeId="0">
      <text>
        <r>
          <rPr>
            <b/>
            <sz val="10"/>
            <color indexed="81"/>
            <rFont val="Tahoma"/>
            <family val="2"/>
          </rPr>
          <t>ACEEE:</t>
        </r>
        <r>
          <rPr>
            <sz val="10"/>
            <color indexed="81"/>
            <rFont val="Tahoma"/>
            <family val="2"/>
          </rPr>
          <t xml:space="preserve">
CNT’s Transit Connectivity Index measures transit service by estimating the number of transit rides available per week within walking distance of the average household and scaling it by frequency of transit service. To gather this information, click on the link in column F.  </t>
        </r>
      </text>
    </comment>
    <comment ref="F43" authorId="0" shapeId="0">
      <text>
        <r>
          <rPr>
            <b/>
            <sz val="10"/>
            <color indexed="81"/>
            <rFont val="Tahoma"/>
            <family val="2"/>
          </rPr>
          <t>ACEEE:</t>
        </r>
        <r>
          <rPr>
            <sz val="10"/>
            <color indexed="81"/>
            <rFont val="Tahoma"/>
            <family val="2"/>
          </rPr>
          <t xml:space="preserve">
Once the website opens, enter your community's name in the search box. After the search completes and the data loads, scroll down to the "Transit Quality" section. Under this section, you will find the box for "Transit Connectivity Index (0-100)." Record the score in column C and select the appropriate drop-down in column D. </t>
        </r>
      </text>
    </comment>
    <comment ref="B47" authorId="0" shapeId="0">
      <text>
        <r>
          <rPr>
            <b/>
            <sz val="10"/>
            <color indexed="81"/>
            <rFont val="Tahoma"/>
            <family val="2"/>
          </rPr>
          <t>ACEEE:</t>
        </r>
        <r>
          <rPr>
            <sz val="10"/>
            <color indexed="81"/>
            <rFont val="Tahoma"/>
            <family val="2"/>
          </rPr>
          <t xml:space="preserve">
While alternative-fuel vehicles—those that use ethanol or compressed natural gas—can provide substantial environmental benefits by reducing pollution, they do not generally improve vehicle fuel efficiency. Therefore policies to promote the purchase of alternative-fuel vehicles, but not the purchase of high-efficiency vehicles, do not receive a point. We also do not give credit for incentives such as the use of high-occupancy-vehicle lanes and preferred parking programs for high-efficiency and electric vehicles, as they can promote increased automobile use and consequently may have no net energy benefit. </t>
        </r>
      </text>
    </comment>
    <comment ref="F48" authorId="0" shapeId="0">
      <text>
        <r>
          <rPr>
            <b/>
            <sz val="10"/>
            <color indexed="81"/>
            <rFont val="Tahoma"/>
            <family val="2"/>
          </rPr>
          <t>ACEEE:</t>
        </r>
        <r>
          <rPr>
            <sz val="10"/>
            <color indexed="81"/>
            <rFont val="Tahoma"/>
            <family val="2"/>
          </rPr>
          <t xml:space="preserve">
After clicking through to the site, locate the drop box to the right of "Dataset." Click this drop box and select "Alternative fuel stations,"  then move on to the drop box below and select your preferred file format for downloading the file. 
Next, locate the drop boxes under "Download options" and fill out the appropriate information. For "Fuel type" you should select the "Electric" option, for "Access" you should select the "Public" option, and for "Status" please select "Open." Next, provide the required information found in Step 2 and select the "Download" button at the bottom of the page. 
The file displays all publicly available electric vehicle charging stations. It is easiest to filter by your city (column E if using Excel) and count the number of charging stations listed.  </t>
        </r>
      </text>
    </comment>
    <comment ref="B53" authorId="0" shapeId="0">
      <text>
        <r>
          <rPr>
            <b/>
            <sz val="8"/>
            <color indexed="81"/>
            <rFont val="Tahoma"/>
            <family val="2"/>
          </rPr>
          <t>ACEEE:</t>
        </r>
        <r>
          <rPr>
            <sz val="8"/>
            <color indexed="81"/>
            <rFont val="Tahoma"/>
            <family val="2"/>
          </rPr>
          <t xml:space="preserve">
</t>
        </r>
        <r>
          <rPr>
            <sz val="10"/>
            <color indexed="81"/>
            <rFont val="Tahoma"/>
            <family val="2"/>
          </rPr>
          <t>Locally developed freight plans can go above and beyond state freight requirements and policies. They can serve as the foundation for strategies to increase freight efficiency, which may include truck loading plans, multimodal requirements, street design, last-mile delivery solutions, zoning provisions, off-hour delivery programs, or strategies to increase the use of rail, barge, or other multimodal freight options. Each strategy positively affects freight efficiency, but a plan with a comprehensive package of strategies can result in greater fuel savings.</t>
        </r>
      </text>
    </comment>
    <comment ref="B54" authorId="0" shapeId="0">
      <text>
        <r>
          <rPr>
            <b/>
            <sz val="8"/>
            <color indexed="81"/>
            <rFont val="Tahoma"/>
            <family val="2"/>
          </rPr>
          <t>ACEEE:</t>
        </r>
        <r>
          <rPr>
            <sz val="8"/>
            <color indexed="81"/>
            <rFont val="Tahoma"/>
            <family val="2"/>
          </rPr>
          <t xml:space="preserve">
</t>
        </r>
        <r>
          <rPr>
            <sz val="10"/>
            <color indexed="81"/>
            <rFont val="Tahoma"/>
            <family val="2"/>
          </rPr>
          <t xml:space="preserve">Internet-based applications and services such as Transfix and Convoy have spurred the transformation of the freight industry. These platforms can connect shippers and carriers directly and can provide freight carriers with dynamic, real-time road updates, minimizing the time spent in traffic. </t>
        </r>
      </text>
    </comment>
    <comment ref="B58" authorId="0" shapeId="0">
      <text>
        <r>
          <rPr>
            <b/>
            <sz val="8"/>
            <color indexed="81"/>
            <rFont val="Tahoma"/>
            <family val="2"/>
          </rPr>
          <t>ACEEE:</t>
        </r>
        <r>
          <rPr>
            <sz val="8"/>
            <color indexed="81"/>
            <rFont val="Tahoma"/>
            <family val="2"/>
          </rPr>
          <t xml:space="preserve">
Y</t>
        </r>
        <r>
          <rPr>
            <sz val="10"/>
            <color indexed="81"/>
            <rFont val="Tahoma"/>
            <family val="2"/>
          </rPr>
          <t xml:space="preserve">our community can earn 1 point for each requirement, incentive, or subsidy that encourages the creation or preservation of affordable housing in transit-served areas. Your community earns 0.5 points for each voluntary effort or program. For column D, please select the option that corresponds to the amount of incentives/programs you have implemented in your locality. </t>
        </r>
        <r>
          <rPr>
            <b/>
            <sz val="10"/>
            <color indexed="81"/>
            <rFont val="Tahoma"/>
            <family val="2"/>
          </rPr>
          <t xml:space="preserve">
</t>
        </r>
        <r>
          <rPr>
            <sz val="10"/>
            <color indexed="81"/>
            <rFont val="Tahoma"/>
            <family val="2"/>
          </rPr>
          <t xml:space="preserve">
Examples of requirements/incentives include:
• Density bonuses
• Floor area ratio (FAR) bonuses for developers 
• Affordable housing development requirements within a certain radius of TODs
Examples of voluntary efforts include:
• A city goal or plan to increase affordable housing in TODs (see Houston's Housing Framework: http://www.houstontx.gov/planning/DevelopRegs/urbanhoustonframework/PDFs/FullReport_UrbanHoustonFramework.pdf)
</t>
        </r>
      </text>
    </comment>
  </commentList>
</comments>
</file>

<file path=xl/sharedStrings.xml><?xml version="1.0" encoding="utf-8"?>
<sst xmlns="http://schemas.openxmlformats.org/spreadsheetml/2006/main" count="1716" uniqueCount="1067">
  <si>
    <t>Results</t>
  </si>
  <si>
    <t>Score</t>
  </si>
  <si>
    <t>Max Score</t>
  </si>
  <si>
    <t>Community-Wide</t>
  </si>
  <si>
    <t>Buildings</t>
  </si>
  <si>
    <t>Utilities</t>
  </si>
  <si>
    <t>Transportation</t>
  </si>
  <si>
    <t>Incentives</t>
  </si>
  <si>
    <t>Mandates</t>
  </si>
  <si>
    <t>Answer</t>
  </si>
  <si>
    <t>Getting Started</t>
  </si>
  <si>
    <t>Question</t>
  </si>
  <si>
    <t>Improve Access to Actionable Information</t>
  </si>
  <si>
    <t>Comprehensive Energy Strategy</t>
  </si>
  <si>
    <t>Arlington County, VA</t>
  </si>
  <si>
    <t>Grand Total</t>
  </si>
  <si>
    <t>Local Government</t>
  </si>
  <si>
    <t>2009 IECC</t>
  </si>
  <si>
    <t>B34</t>
  </si>
  <si>
    <t>Community-wide</t>
  </si>
  <si>
    <t xml:space="preserve">Buildings </t>
  </si>
  <si>
    <t>Solution: Create mirror of chart on hidden Sheet with Max Score as the first column.  The use vlookups to pull in the sector name.  From there, use the sector name to pull in the piece of analysis.</t>
  </si>
  <si>
    <t>Analysis Chart</t>
  </si>
  <si>
    <t>A8</t>
  </si>
  <si>
    <t>A24</t>
  </si>
  <si>
    <t>A23, A26</t>
  </si>
  <si>
    <t>Questions</t>
  </si>
  <si>
    <t>Charts</t>
  </si>
  <si>
    <t>A25</t>
  </si>
  <si>
    <t>&lt;5,000 square feet and greater</t>
  </si>
  <si>
    <t>&gt;10,000 square feet and greater</t>
  </si>
  <si>
    <t>&gt;35,000 square feet and greater</t>
  </si>
  <si>
    <t>A28</t>
  </si>
  <si>
    <t>&gt;10 units or 10,000 square feet and greater</t>
  </si>
  <si>
    <t>&gt;35 units or 35,000 square feet and greater</t>
  </si>
  <si>
    <t>Improved Access to Info</t>
  </si>
  <si>
    <t>A9</t>
  </si>
  <si>
    <t>Local Authority Permitted</t>
  </si>
  <si>
    <t>&gt; or equal to 2012 IECC</t>
  </si>
  <si>
    <t>&gt; 2009 IECC</t>
  </si>
  <si>
    <t>1998 - 2006 IECC or greater</t>
  </si>
  <si>
    <t>A8, A9</t>
  </si>
  <si>
    <t xml:space="preserve">A22 </t>
  </si>
  <si>
    <t>A7, A10</t>
  </si>
  <si>
    <t>A11</t>
  </si>
  <si>
    <t>&gt; or equal to 2012 IECC or ASHRAE 2010</t>
  </si>
  <si>
    <t>&gt; 2009 IECC or ASHRAE 2007</t>
  </si>
  <si>
    <t>1998 - 2006 MECC/IECC or ASHRAE 1999 - 2004 or greater</t>
  </si>
  <si>
    <t>Res - Local Authority Permitted OR Local Code Only</t>
  </si>
  <si>
    <t>Com - State Authority OR Stretch Code</t>
  </si>
  <si>
    <t>Com - Local Authority Permitted OR Local Code Only</t>
  </si>
  <si>
    <t>A12</t>
  </si>
  <si>
    <t>A39</t>
  </si>
  <si>
    <t>Participation in third-party plan review or performance testing is required</t>
  </si>
  <si>
    <t>No, third party compliance program exists</t>
  </si>
  <si>
    <t>A51</t>
  </si>
  <si>
    <t>A49</t>
  </si>
  <si>
    <t>ENERGY STAR</t>
  </si>
  <si>
    <t>Metric</t>
  </si>
  <si>
    <t>Automatically Populated Cell</t>
  </si>
  <si>
    <t>State Authority Only</t>
  </si>
  <si>
    <t>Local Code Only</t>
  </si>
  <si>
    <t xml:space="preserve">A21 </t>
  </si>
  <si>
    <t>Yes, we provide a form of upfront compliance support</t>
  </si>
  <si>
    <t>No, we do not provide compliance support</t>
  </si>
  <si>
    <t>A29</t>
  </si>
  <si>
    <t>Yes, energy efficiency features are on the MLS that serves the metro area</t>
  </si>
  <si>
    <t>No, energy efficiency features are not on the MLS</t>
  </si>
  <si>
    <t>Yes, the city is an active advocate</t>
  </si>
  <si>
    <t>No, the city is not an active advocate</t>
  </si>
  <si>
    <t>A37, A39</t>
  </si>
  <si>
    <t>Third-party program is set up as a compliance option, but is not mandatory</t>
  </si>
  <si>
    <t>A61</t>
  </si>
  <si>
    <t>Stretch Code</t>
  </si>
  <si>
    <t>Intro Tab</t>
  </si>
  <si>
    <t>Buildings Tab</t>
  </si>
  <si>
    <t>Analysis</t>
  </si>
  <si>
    <t>MMBTU</t>
  </si>
  <si>
    <t>MWh</t>
  </si>
  <si>
    <t>Manual Entry Cell</t>
  </si>
  <si>
    <t>F13, G13, H13</t>
  </si>
  <si>
    <t>I13</t>
  </si>
  <si>
    <t>Gallons</t>
  </si>
  <si>
    <t>VMT</t>
  </si>
  <si>
    <t>Local Government Operations</t>
  </si>
  <si>
    <t>Comprehensive Efficiency and Contractor Infrastructure</t>
  </si>
  <si>
    <t>A7</t>
  </si>
  <si>
    <t>Yes, urban heat mitigation programs have been implemented</t>
  </si>
  <si>
    <t>No, urban heat mitigation programs have not been implemented</t>
  </si>
  <si>
    <t>Improve Access to Info</t>
  </si>
  <si>
    <t>A26</t>
  </si>
  <si>
    <t>Yes, dedicated funding is allocated for energy efficiency goals</t>
  </si>
  <si>
    <t>Yes, the city is on track to meet energy efficiency goals</t>
  </si>
  <si>
    <t>No, the city is not on track to meet energy efficiency goals</t>
  </si>
  <si>
    <t>A30</t>
  </si>
  <si>
    <t>City has CHP capacity of 15MW or greater per 100,000 residents</t>
  </si>
  <si>
    <t>City has CHP capacity of 10MW or greater per 100,000 residents</t>
  </si>
  <si>
    <t>City has CHP capacity of 5 MW or greater per 100,000 residents</t>
  </si>
  <si>
    <t>City has CHP capacity of 2.5 MW or greater per 100,000 residents</t>
  </si>
  <si>
    <t>City has no CHP capacity</t>
  </si>
  <si>
    <t>A31</t>
  </si>
  <si>
    <t>City has at least one district energy system that integrates CHP</t>
  </si>
  <si>
    <t>No installed CHP, but city has done significant planning for future district energy</t>
  </si>
  <si>
    <t>City has at least one district energy system, but does not integrate with CHP</t>
  </si>
  <si>
    <t>City has no district energy and has not planned for future systems</t>
  </si>
  <si>
    <t>A32</t>
  </si>
  <si>
    <t>Yes, policies are in place to manage to urban heat island effect</t>
  </si>
  <si>
    <t>No, policies are not in place to manage to urban heat island effect</t>
  </si>
  <si>
    <t>A16</t>
  </si>
  <si>
    <t>Yes, an annual report is released tracking progress towards energy-related goals</t>
  </si>
  <si>
    <t>No annual report is released detailing progress on energy efficiency efforts</t>
  </si>
  <si>
    <t>Stakeholder group formed to formulate targets, but targets not yet identified</t>
  </si>
  <si>
    <t>No, dedicated funding does not exist for energy efficiency goals</t>
  </si>
  <si>
    <t>Electric and Water Utility</t>
  </si>
  <si>
    <t>Investor Owned Utility</t>
  </si>
  <si>
    <t>Municipally Owned Utility</t>
  </si>
  <si>
    <t>A8,A11</t>
  </si>
  <si>
    <t>A9, A12</t>
  </si>
  <si>
    <t>A13</t>
  </si>
  <si>
    <t>A14</t>
  </si>
  <si>
    <t>Yes, public funding is in place for green stormwater infrastructure</t>
  </si>
  <si>
    <t>No, public funding is not in place for green stormwater infrastructure</t>
  </si>
  <si>
    <t>A22</t>
  </si>
  <si>
    <t>A23</t>
  </si>
  <si>
    <t>Yes, ABS is available through the ENERGY STAR Portfolio Manager</t>
  </si>
  <si>
    <t>A33</t>
  </si>
  <si>
    <t>Yes, water efficiency programs are funded</t>
  </si>
  <si>
    <t>No, water efficiency programs are not funded</t>
  </si>
  <si>
    <t>A34</t>
  </si>
  <si>
    <t>Yes, water savings targets have been set</t>
  </si>
  <si>
    <t>No, water savings targets have not been set</t>
  </si>
  <si>
    <t>A35</t>
  </si>
  <si>
    <t>A36</t>
  </si>
  <si>
    <t>Yes, the local wastewater utility self-generates energy</t>
  </si>
  <si>
    <t>No, the local wastewater utility does not self-generate energy</t>
  </si>
  <si>
    <t>A53</t>
  </si>
  <si>
    <t>Yes, the city has enacted policies, rates, or incentives for this purpose</t>
  </si>
  <si>
    <t>No, the city has not enacted policies, rates, or incentives for this purpose</t>
  </si>
  <si>
    <t>1.5% or greater</t>
  </si>
  <si>
    <t>1% - 1.49%</t>
  </si>
  <si>
    <t>0.5% - 0.99%</t>
  </si>
  <si>
    <t>0.1% - 0.49%</t>
  </si>
  <si>
    <t>&lt;.01%</t>
  </si>
  <si>
    <t>Yes, a cost cap is applied to the mandate</t>
  </si>
  <si>
    <t>No, a cost cap is not applied to the mandate</t>
  </si>
  <si>
    <t>A62</t>
  </si>
  <si>
    <t>A63</t>
  </si>
  <si>
    <t>Yes, natural gas is included in the mandate</t>
  </si>
  <si>
    <t>No, natural gas is not included in the mandate</t>
  </si>
  <si>
    <t>Yes, energy efficiency is incorporated into one of the aforementioned agreements</t>
  </si>
  <si>
    <t>Electric Program Spending - MOUs</t>
  </si>
  <si>
    <t>Electric Program Spending - IOUs</t>
  </si>
  <si>
    <t>Charts  (and answers) - A46</t>
  </si>
  <si>
    <t>Charts  (and answers) - A49</t>
  </si>
  <si>
    <t>$35 or greater</t>
  </si>
  <si>
    <t>Natural Gas Program Spending - MOUs</t>
  </si>
  <si>
    <t>A52</t>
  </si>
  <si>
    <t>1.4% or greater</t>
  </si>
  <si>
    <t>1 - 1.39%</t>
  </si>
  <si>
    <t>.6 - .99%</t>
  </si>
  <si>
    <t>.2 - .59%</t>
  </si>
  <si>
    <t>&lt;.2%</t>
  </si>
  <si>
    <t>N/a, there is no savings target</t>
  </si>
  <si>
    <t xml:space="preserve">Questions </t>
  </si>
  <si>
    <t>Yes, the city has an energy efficiency standard in place for outdoor lighting</t>
  </si>
  <si>
    <t>A policy is not in place, but the city has begun an outdoor lighting replacement program</t>
  </si>
  <si>
    <t>No, a standard is not in place and retrofits are not planned</t>
  </si>
  <si>
    <t>No, lights are not activated by sensors nor scheduled for only when needed</t>
  </si>
  <si>
    <t xml:space="preserve">Yes, lights are activated by sensors and/or are scheduled </t>
  </si>
  <si>
    <t>A10</t>
  </si>
  <si>
    <t>No, neither energy efficiency nor lifecycle costs are considered in procurement</t>
  </si>
  <si>
    <t>Yes, energy efficiency and/or lifecycle costs are considered in procurement</t>
  </si>
  <si>
    <t>At least 75%</t>
  </si>
  <si>
    <t>50 - 74.9%</t>
  </si>
  <si>
    <t>25 - 49.9%</t>
  </si>
  <si>
    <t>&lt;25%</t>
  </si>
  <si>
    <t>A19</t>
  </si>
  <si>
    <t>A20</t>
  </si>
  <si>
    <t>Energy efficiency targets have been identified, but not formally adopted</t>
  </si>
  <si>
    <t>Yes, a target has been adopted through Executive Order or City Resolution</t>
  </si>
  <si>
    <t>No, no targets have been adopted nor are being planned</t>
  </si>
  <si>
    <t>Yes, the city employs a third party for EM&amp;V of progress towards goals</t>
  </si>
  <si>
    <t>A21</t>
  </si>
  <si>
    <t>Yes, outreach and community engagement are part of goals</t>
  </si>
  <si>
    <t>No, outreach and community engagement are not part of goals</t>
  </si>
  <si>
    <t>Yes, departmental incentives are in place for energy efficient actions</t>
  </si>
  <si>
    <t>No, departmental incentives are not in place for energy efficient actions</t>
  </si>
  <si>
    <t>Does the local government have fuel efficiency requirements for public fleet vehicles?</t>
  </si>
  <si>
    <t>Yes, there are fuel efficiency requirements for the public fleet</t>
  </si>
  <si>
    <t>No, there aren't fuel efficiency requirements for the public fleet</t>
  </si>
  <si>
    <r>
      <t xml:space="preserve">Both a right-sizing policy </t>
    </r>
    <r>
      <rPr>
        <b/>
        <sz val="11"/>
        <color theme="1"/>
        <rFont val="Calibri"/>
        <family val="2"/>
        <scheme val="minor"/>
      </rPr>
      <t xml:space="preserve">AND a </t>
    </r>
    <r>
      <rPr>
        <sz val="11"/>
        <color theme="1"/>
        <rFont val="Calibri"/>
        <family val="2"/>
        <scheme val="minor"/>
      </rPr>
      <t>policy to encourage efficient vehicle usage is in place</t>
    </r>
  </si>
  <si>
    <r>
      <t xml:space="preserve">A right-sizing policy </t>
    </r>
    <r>
      <rPr>
        <b/>
        <sz val="11"/>
        <color theme="1"/>
        <rFont val="Calibri"/>
        <family val="2"/>
        <scheme val="minor"/>
      </rPr>
      <t>OR</t>
    </r>
    <r>
      <rPr>
        <sz val="11"/>
        <color theme="1"/>
        <rFont val="Calibri"/>
        <family val="2"/>
        <scheme val="minor"/>
      </rPr>
      <t xml:space="preserve"> a policy to encourage efficient vehicle usage is in place</t>
    </r>
  </si>
  <si>
    <t>Neither a right-sizing policy nor a policy to encourage efficient vehicle usage is in place</t>
  </si>
  <si>
    <t>The city has not installed electric vehicle charging stations</t>
  </si>
  <si>
    <t>A37</t>
  </si>
  <si>
    <t>No energy efficiency requirements are in place for new public buildings</t>
  </si>
  <si>
    <t>Has your city adopted a comprehensive retrofit strategy for public buildings?</t>
  </si>
  <si>
    <t>A38</t>
  </si>
  <si>
    <t>Yes, the city is a Better Building Partner</t>
  </si>
  <si>
    <t>Although a policy is not place, the city has made substantial efficiency investments</t>
  </si>
  <si>
    <t>No, the city does not have a retrofit policy in place</t>
  </si>
  <si>
    <t>At least one full-time employee is dedicated to energy management and coordination</t>
  </si>
  <si>
    <t>No full-time staff are dedicated to energy management and coordination</t>
  </si>
  <si>
    <t>Progress on all goals is not reported, but the city does annually report on some goals</t>
  </si>
  <si>
    <t>No targets have been set, but an agency stakeholder group is convening to discuss</t>
  </si>
  <si>
    <t>No, the city is not on track to reach its target(s)</t>
  </si>
  <si>
    <t>City has implemented programs to save energy, but cannot quantify overall savings</t>
  </si>
  <si>
    <t>Yes, dedicated funding is in place and/or energy target(s) has been incorporated</t>
  </si>
  <si>
    <t>Neither dedicated funding is in place nor has energy target(s) been incorporated</t>
  </si>
  <si>
    <t>No, city does not employ a third party for EM&amp;V of progress towards goals</t>
  </si>
  <si>
    <t>Yes, energy efficiency requirements, such as ENERGY STAR, are in place</t>
  </si>
  <si>
    <t>LEED requirements, which also emphasize energy efficiency, are in place</t>
  </si>
  <si>
    <t>Yes, the city has an energy performance strategy that includes building improvements</t>
  </si>
  <si>
    <t>Yes, the city has implemented an aforementioned sustainable infrastructure policy</t>
  </si>
  <si>
    <t>No, the city has not implemented an aforementioned sustainable infrastructure policy</t>
  </si>
  <si>
    <t>Building Energy Savings Target</t>
  </si>
  <si>
    <t>Getting Started Through Incentives</t>
  </si>
  <si>
    <t>Complete Streets</t>
  </si>
  <si>
    <t xml:space="preserve">Getting Started </t>
  </si>
  <si>
    <t>B16</t>
  </si>
  <si>
    <t>NCSC Score greater than 75</t>
  </si>
  <si>
    <t>NCSC Score greater than 50 and less than 75</t>
  </si>
  <si>
    <t>NCSC Score greater than 25 and less than 50</t>
  </si>
  <si>
    <t>NCSC Score less than 25</t>
  </si>
  <si>
    <t>No complete streets policy in place</t>
  </si>
  <si>
    <t>B17</t>
  </si>
  <si>
    <t>Car Sharing</t>
  </si>
  <si>
    <t>B18</t>
  </si>
  <si>
    <t>Bike Sharing</t>
  </si>
  <si>
    <t>B19</t>
  </si>
  <si>
    <t>Transit Funding</t>
  </si>
  <si>
    <t>Transit to Funding Ratio is greater than 3:1</t>
  </si>
  <si>
    <t>Transit to Funding Ratio is 2 to 2.99:1</t>
  </si>
  <si>
    <t>Transit to Funding Ratio is 1 to 1.99:1</t>
  </si>
  <si>
    <t>Transit to Funding Ratio is 0.5 to 0.99:1</t>
  </si>
  <si>
    <t>Transit to Funding Ratio is less than 0.5 but greater than 0</t>
  </si>
  <si>
    <t>Transportation Partnerships</t>
  </si>
  <si>
    <t>B20</t>
  </si>
  <si>
    <t>Yes, at least one city staff member actively engages with the Clean Cities Coalition</t>
  </si>
  <si>
    <t>No, city staff does not actively engage with the Clean Cities Coalition</t>
  </si>
  <si>
    <t>A Clean Cities Coalition does not exist in our region or state</t>
  </si>
  <si>
    <t>B27</t>
  </si>
  <si>
    <t>Location Efficiency Policies</t>
  </si>
  <si>
    <t>Yes, location efficiency policies are in place</t>
  </si>
  <si>
    <t>No, location efficiency policies are not in place</t>
  </si>
  <si>
    <t>Parking Requirements</t>
  </si>
  <si>
    <t>B28</t>
  </si>
  <si>
    <t>Parking minimums have been removed in more than one neighborhood</t>
  </si>
  <si>
    <t>The parking requirement is an average of 0.5 parking spaces or fewer per residential unit</t>
  </si>
  <si>
    <t>The parking requirement is an average of 1 parking space or fewer per residential unit</t>
  </si>
  <si>
    <t>The parking requirement is an average of 1 parking space or more per residential unit</t>
  </si>
  <si>
    <t>B37</t>
  </si>
  <si>
    <t>Location Efficient Zoning</t>
  </si>
  <si>
    <t>A zoning code to encourage location-efficient development applies to the whole city</t>
  </si>
  <si>
    <t>A zoning code to encourage location-efficient development does not exist</t>
  </si>
  <si>
    <t>B36</t>
  </si>
  <si>
    <t>VMT Targets</t>
  </si>
  <si>
    <t>Yes, a specific target has been adopted through legislation</t>
  </si>
  <si>
    <t>Yes, a specific target is part of a city sustainability plan</t>
  </si>
  <si>
    <t>What is your locality's Transit Connectivity Index?</t>
  </si>
  <si>
    <t>B39</t>
  </si>
  <si>
    <t>Transit Connectivity Index</t>
  </si>
  <si>
    <t>&gt;50,000</t>
  </si>
  <si>
    <t>20,000 to 50,000</t>
  </si>
  <si>
    <t>10,000 to 20,000</t>
  </si>
  <si>
    <t>5,000 to 10,000</t>
  </si>
  <si>
    <t>&gt;0 to 10,000</t>
  </si>
  <si>
    <t>Freight</t>
  </si>
  <si>
    <t>B48</t>
  </si>
  <si>
    <t>Incentives for Mixed Use</t>
  </si>
  <si>
    <t>B50</t>
  </si>
  <si>
    <t>High Efficiency Vehicles</t>
  </si>
  <si>
    <t>Yes, city incentives are in place for the purchase of high efficiency vehicles</t>
  </si>
  <si>
    <t>No, city incentives are not in place for the purchase of high efficiency vehicles</t>
  </si>
  <si>
    <t>B51</t>
  </si>
  <si>
    <t>EV Charging Stations</t>
  </si>
  <si>
    <t>Yes, programs for the installation of EV charging infrastructure have been enacted</t>
  </si>
  <si>
    <t>No, programs for the installation of EV charging infrastructure have not been enacted</t>
  </si>
  <si>
    <t>Efficient Vehicle Behavior</t>
  </si>
  <si>
    <t>B60</t>
  </si>
  <si>
    <t>No, the city does not have any such policies</t>
  </si>
  <si>
    <t>Policy Step 1</t>
  </si>
  <si>
    <t>Policy Step 2</t>
  </si>
  <si>
    <t>Policy Step 3</t>
  </si>
  <si>
    <t>Target formally adopted but not mainstreamed across community activities</t>
  </si>
  <si>
    <t>Target identified through proposal or draft action plan, but not formally adopted</t>
  </si>
  <si>
    <t>Target identified for only specific neighborhoods rather than whole community</t>
  </si>
  <si>
    <t>Yes, target formally adopted and mainstreamed across community activities</t>
  </si>
  <si>
    <t>Yes, there is independent EM&amp;V of progress toward community efficiency goals</t>
  </si>
  <si>
    <t>No, there is no independent EM&amp;V of progress toward community efficiency goals</t>
  </si>
  <si>
    <t>2009 IECC or ASHRAE 2007</t>
  </si>
  <si>
    <t>Res - State Authority Only</t>
  </si>
  <si>
    <t>A45</t>
  </si>
  <si>
    <t>Ratio of BPI and ES personnel to households is greater than 0.5 and less than 1</t>
  </si>
  <si>
    <t>No BPI or ES personnel in metro area</t>
  </si>
  <si>
    <t>A17</t>
  </si>
  <si>
    <t>City Compliance Spending</t>
  </si>
  <si>
    <t>More than $60</t>
  </si>
  <si>
    <t>&lt;$30 to &lt;$60</t>
  </si>
  <si>
    <t>&lt;$20 to &lt;$30</t>
  </si>
  <si>
    <t>&lt;$10 to &lt;$20</t>
  </si>
  <si>
    <t>Less than $10</t>
  </si>
  <si>
    <t>Yes, requirements exist for both residential AND commercial buildings</t>
  </si>
  <si>
    <t>Yes, requirements exist for residential OR commercial buildings</t>
  </si>
  <si>
    <t>No, the city does not have energy audit requirements</t>
  </si>
  <si>
    <t>Yes, one of these requirements has been passed and implemented</t>
  </si>
  <si>
    <t>No, the city does not have one of these requirements</t>
  </si>
  <si>
    <t>One of these requirements has been implemented, but not formally passed</t>
  </si>
  <si>
    <t>A24, A30</t>
  </si>
  <si>
    <t>All residential building units (including single family homes) and greater</t>
  </si>
  <si>
    <t>Yes, households have access to a Home Performance</t>
  </si>
  <si>
    <t>No, households do not  have access to a Home Performance</t>
  </si>
  <si>
    <t>Requirements exist for residential AND commercial buildings</t>
  </si>
  <si>
    <t>Requirements exist for residential OR commercial buildings</t>
  </si>
  <si>
    <t>Requirements exist for buildings using public funds</t>
  </si>
  <si>
    <t>Above code requirements do not exist</t>
  </si>
  <si>
    <t>Yes, the city promotes and/or partners with the utility on efficiency programs</t>
  </si>
  <si>
    <t>No, the city does not promote and/or partner with the utility on efficiency programs</t>
  </si>
  <si>
    <t>Yes, the city advocates for additional energy efficiency spending/policies</t>
  </si>
  <si>
    <t>No, the city does not advocate for additional energy efficiency spending/policies</t>
  </si>
  <si>
    <t>Yes, the city advocates for improvements or has established sharing agreements</t>
  </si>
  <si>
    <t>No, the city does not advocate for improvements nor has established sharing agreements</t>
  </si>
  <si>
    <t>Yes, the city has implemented Green Button or a similar online service</t>
  </si>
  <si>
    <t>The city has not yet implemented Green Button, but has committed to doing so</t>
  </si>
  <si>
    <t>No, the city has not implemented Green Button and has no plans to do so</t>
  </si>
  <si>
    <t>No, energy efficiency is not  incorporated into one of the aforementioned agreements</t>
  </si>
  <si>
    <t>While not required, the utility has a voluntary agreement to fund efficiency programs</t>
  </si>
  <si>
    <t>EE Savings Requirements</t>
  </si>
  <si>
    <t>Yes, the city advocates for additional energy efficiency requirements</t>
  </si>
  <si>
    <t>No, the city does not advocate for additional energy efficiency requirements</t>
  </si>
  <si>
    <t>Comprehensive Community-Wide Energy Management Strategy</t>
  </si>
  <si>
    <t>Accessible Energy Utility Data</t>
  </si>
  <si>
    <t>Transparent Government Energy Usage</t>
  </si>
  <si>
    <t>Initial Energy Management Policies for Government Operations</t>
  </si>
  <si>
    <t>Comprehensive Energy Management Strategy for Government Operations</t>
  </si>
  <si>
    <t>Informing the Community</t>
  </si>
  <si>
    <t>Comprehensive Energy Management at Utilities</t>
  </si>
  <si>
    <t>Getting Started on Community-Wide Energy Efficiency</t>
  </si>
  <si>
    <t>Yes, the city has an operational car sharing program</t>
  </si>
  <si>
    <t>The city does not have one yet, but a car sharing program is under development</t>
  </si>
  <si>
    <t>No, the city does not have a car sharing program</t>
  </si>
  <si>
    <t>Yes, the city has an operational bike sharing program</t>
  </si>
  <si>
    <t>The city does not have one yet, but a bike sharing program is under development</t>
  </si>
  <si>
    <t>No, the city does not have a bike sharing program</t>
  </si>
  <si>
    <t>There are no minimum parking requirements for new developments</t>
  </si>
  <si>
    <t>City has efficient-vehicle behavior policies, but they only apply to a subset of private vehicles</t>
  </si>
  <si>
    <t>No, a specific target has not been identified</t>
  </si>
  <si>
    <t>B38</t>
  </si>
  <si>
    <t>Target Implementation</t>
  </si>
  <si>
    <t>Yes, a plan is actively being implemented to achieve the target</t>
  </si>
  <si>
    <t>No, the city is not actively implementing a plan to achieve the target</t>
  </si>
  <si>
    <t>The city does not have a VMT or modal share target</t>
  </si>
  <si>
    <t>B40</t>
  </si>
  <si>
    <t>Efficient intermodal freight facility to thousand ton mile ratio is 2 to 3:1</t>
  </si>
  <si>
    <t>Efficient intermodal freight facility to thousand ton mile ratio is 1 to 1.99</t>
  </si>
  <si>
    <t>Efficient intermodal freight facility to thousand ton mile ratio is 0.5 to 0.99</t>
  </si>
  <si>
    <t>Efficient intermodal freight facility to thousand ton mile ratio is 0 to 0.49</t>
  </si>
  <si>
    <t>Efficient intermodal freight facility to thousand ton mile ratio is 0</t>
  </si>
  <si>
    <t>A41</t>
  </si>
  <si>
    <t>No, the city has not established an energy savings targets for buildings</t>
  </si>
  <si>
    <t>Yes, the city has established an energy savings target for buildings</t>
  </si>
  <si>
    <t>B49</t>
  </si>
  <si>
    <t>Transportation Demand Management</t>
  </si>
  <si>
    <t>Yes, the city has implemented a broad set of TDM policies and programs</t>
  </si>
  <si>
    <t>The city does not have TDM policies or programs</t>
  </si>
  <si>
    <t>The city offers some TDM programs or actively partners with/funds programs run by others</t>
  </si>
  <si>
    <t>Energy efficiency initiatives are being pursued, but a savings target is not in place</t>
  </si>
  <si>
    <t xml:space="preserve">Yes, a specific energy efficiency target/strategy is in place </t>
  </si>
  <si>
    <t xml:space="preserve">No, a specific energy efficiency target/strategy is not in place </t>
  </si>
  <si>
    <t>Wastewater treatment plants capture energy resources, but do not use on site</t>
  </si>
  <si>
    <t>S</t>
  </si>
  <si>
    <t>Instructions: To be modified from overview and helpful hints of User Guide</t>
  </si>
  <si>
    <t>Ratio of BPI and ES personnel to households is greater than 1</t>
  </si>
  <si>
    <t>Aggregated energy data is available, but only upon request</t>
  </si>
  <si>
    <t>No, aggregated energy data is not available</t>
  </si>
  <si>
    <t>Yes, aggregate energy usage data for the community is available</t>
  </si>
  <si>
    <t>No, aggregate energy usage data for the community is not available</t>
  </si>
  <si>
    <t>A zoning code to encourage location-efficient development applies to certain areas/neighborhoods</t>
  </si>
  <si>
    <t>Yes, the city has efficient vehicle behavior policies that apply to all private vehicles</t>
  </si>
  <si>
    <t>Yes, the city has quantitative evidence demonstrating it is on track to reach its target(s)</t>
  </si>
  <si>
    <t>No third party, but city follows standardized monitoring and evaluation techniques</t>
  </si>
  <si>
    <t>LEED requirements, which do not emphasize energy efficiency, are in place</t>
  </si>
  <si>
    <t>MOU Energy Efficiency Savings Targets</t>
  </si>
  <si>
    <t>IOU Energy Efficiency Savings Targets</t>
  </si>
  <si>
    <t>The community does not have benchmarking requirements</t>
  </si>
  <si>
    <t>Unknown, the community cannot currently quantify progress towards goals</t>
  </si>
  <si>
    <t>Yes, current government policies minimize municipal employee commutes</t>
  </si>
  <si>
    <t>No, government policies are not in place to minimize municipal employee commutes</t>
  </si>
  <si>
    <t>Does the municipal government offer carpooling or public transit benefits to employees?</t>
  </si>
  <si>
    <t>Yes, carpooling or public transit benefits are offered to municipal employees</t>
  </si>
  <si>
    <t>No, carpooling or public transit benefits are not offered to municipal employees</t>
  </si>
  <si>
    <t>Yes</t>
  </si>
  <si>
    <t>Energy audit requirements</t>
  </si>
  <si>
    <t>Incentives or finance programs</t>
  </si>
  <si>
    <t>Retrofit requirements</t>
  </si>
  <si>
    <t>Complete streets</t>
  </si>
  <si>
    <t>Parking requirements</t>
  </si>
  <si>
    <t>Access to transit services</t>
  </si>
  <si>
    <t xml:space="preserve">Vehicle purchase incentives </t>
  </si>
  <si>
    <t xml:space="preserve">Vehicle charging infrastructure incentives </t>
  </si>
  <si>
    <t>Getting Started on Community-Wide Energy Efficiency Score</t>
  </si>
  <si>
    <t>Informing the Community Score</t>
  </si>
  <si>
    <t>Comprehensive Community-Wide Energy Management Strategy Score</t>
  </si>
  <si>
    <t>Getting Started Through Incentives Score</t>
  </si>
  <si>
    <t>Accessible Energy Utility Data Score</t>
  </si>
  <si>
    <t>Comprehensive Energy Management at Utilities Score</t>
  </si>
  <si>
    <t>What percentage of local government building square footage has its energy use regularly benchmarked using ENERGY STAR Portfolio Manager or a similar tool?</t>
  </si>
  <si>
    <t>Requirement exists for residential AND commercial buildings</t>
  </si>
  <si>
    <t>Requirement exists for residential OR commercial buildings</t>
  </si>
  <si>
    <t>A60</t>
  </si>
  <si>
    <t>Retrofit requirement does not exist</t>
  </si>
  <si>
    <t>Asset Management</t>
  </si>
  <si>
    <t>Mode Shift</t>
  </si>
  <si>
    <t>Transit</t>
  </si>
  <si>
    <t>D18</t>
  </si>
  <si>
    <t>D19</t>
  </si>
  <si>
    <t>D20</t>
  </si>
  <si>
    <t>D21</t>
  </si>
  <si>
    <t>D22</t>
  </si>
  <si>
    <t>D23</t>
  </si>
  <si>
    <t>D28</t>
  </si>
  <si>
    <t>D29</t>
  </si>
  <si>
    <t>D30</t>
  </si>
  <si>
    <t>D31</t>
  </si>
  <si>
    <t>D32</t>
  </si>
  <si>
    <t>D33</t>
  </si>
  <si>
    <t>D38</t>
  </si>
  <si>
    <t>D39</t>
  </si>
  <si>
    <t>D41</t>
  </si>
  <si>
    <t>D42</t>
  </si>
  <si>
    <t>Yes, the city publicly reports on the progress towards goals at least annually</t>
  </si>
  <si>
    <t>No, the city does not publicly or annually report on the progress towards goals</t>
  </si>
  <si>
    <t>Yes, publicly installed charging stations are available for private vehicles</t>
  </si>
  <si>
    <t>Publicly installed charging stations are only available to government vehicles</t>
  </si>
  <si>
    <t>D25</t>
  </si>
  <si>
    <t>D26</t>
  </si>
  <si>
    <t>D24</t>
  </si>
  <si>
    <t>D43</t>
  </si>
  <si>
    <t>D44</t>
  </si>
  <si>
    <t>D45</t>
  </si>
  <si>
    <t>D46</t>
  </si>
  <si>
    <t>D50</t>
  </si>
  <si>
    <t>D12, D13</t>
  </si>
  <si>
    <t>D35</t>
  </si>
  <si>
    <t>D47</t>
  </si>
  <si>
    <t>D48</t>
  </si>
  <si>
    <t>D49</t>
  </si>
  <si>
    <t>D34</t>
  </si>
  <si>
    <t>D36</t>
  </si>
  <si>
    <r>
      <t xml:space="preserve">Answer 
</t>
    </r>
    <r>
      <rPr>
        <b/>
        <sz val="8"/>
        <color theme="0"/>
        <rFont val="Calibri"/>
        <family val="2"/>
        <scheme val="minor"/>
      </rPr>
      <t>(Document programs and policies)</t>
    </r>
  </si>
  <si>
    <r>
      <t xml:space="preserve">Answer
</t>
    </r>
    <r>
      <rPr>
        <b/>
        <sz val="8"/>
        <color theme="0"/>
        <rFont val="Calibri"/>
        <family val="2"/>
        <scheme val="minor"/>
      </rPr>
      <t>(Document programs and policies)</t>
    </r>
  </si>
  <si>
    <t>Annual public reporting</t>
  </si>
  <si>
    <t>Efficient distributed energy systems</t>
  </si>
  <si>
    <t>Urban heat island strategies</t>
  </si>
  <si>
    <t>4.0% +</t>
  </si>
  <si>
    <t>Less than 0.40%</t>
  </si>
  <si>
    <t xml:space="preserve">$21 -34.99 </t>
  </si>
  <si>
    <t>$7 - 20.99</t>
  </si>
  <si>
    <t>$5-6.99</t>
  </si>
  <si>
    <t>Less than $5</t>
  </si>
  <si>
    <t>2% or greater</t>
  </si>
  <si>
    <t>Advocacy</t>
  </si>
  <si>
    <t>Efficiency efforts in water services</t>
  </si>
  <si>
    <t>Electric/natural gas savings</t>
  </si>
  <si>
    <t>Electric/natural gas efficiency spending</t>
  </si>
  <si>
    <t>Mode shift</t>
  </si>
  <si>
    <t>Location efficiency</t>
  </si>
  <si>
    <t>Community-wide initatives total</t>
  </si>
  <si>
    <t>Local government operations total</t>
  </si>
  <si>
    <t>Community-wide energy efficiency targets</t>
  </si>
  <si>
    <t>Mitigation of urban heat islands</t>
  </si>
  <si>
    <t>Required training</t>
  </si>
  <si>
    <t>Upfront code support</t>
  </si>
  <si>
    <t>Asset management</t>
  </si>
  <si>
    <t>Public lighting</t>
  </si>
  <si>
    <t>New buildings and equipment</t>
  </si>
  <si>
    <t>Fleet efficiency and vehicle infrastructure</t>
  </si>
  <si>
    <t>Public workforce</t>
  </si>
  <si>
    <t>Building benchmarking</t>
  </si>
  <si>
    <t>Comprehensive retrofit strategy</t>
  </si>
  <si>
    <t>Total policy area score</t>
  </si>
  <si>
    <t>Local government operations</t>
  </si>
  <si>
    <t>Community-wide initiatives</t>
  </si>
  <si>
    <t>Urban heat island goals</t>
  </si>
  <si>
    <t>Stringency of building codes</t>
  </si>
  <si>
    <t>Building code enforcement and compliance</t>
  </si>
  <si>
    <t>Requirements and incentives</t>
  </si>
  <si>
    <t>Buildings policies</t>
  </si>
  <si>
    <t xml:space="preserve">Residential energy code </t>
  </si>
  <si>
    <t>Residential energy code advocacy</t>
  </si>
  <si>
    <t xml:space="preserve">Commercial energy code </t>
  </si>
  <si>
    <t>Commercial energy code advocacy</t>
  </si>
  <si>
    <t>Community name</t>
  </si>
  <si>
    <t>State population</t>
  </si>
  <si>
    <t>US census</t>
  </si>
  <si>
    <t>Procurement &amp; construction policies</t>
  </si>
  <si>
    <t>Preliminary information</t>
  </si>
  <si>
    <t>Benchmarking &amp; transparency</t>
  </si>
  <si>
    <t>Commercial benchmarking and transparency policies</t>
  </si>
  <si>
    <t>Residential benchmarking and transparency policies</t>
  </si>
  <si>
    <t>Ownership type of primary electric utility</t>
  </si>
  <si>
    <t>Ownership type of primary natural gas utility</t>
  </si>
  <si>
    <t xml:space="preserve">Electric efficiency spending </t>
  </si>
  <si>
    <t>Natural gas efficiency spending</t>
  </si>
  <si>
    <t xml:space="preserve">Electric/natural gas savings </t>
  </si>
  <si>
    <t>Community research</t>
  </si>
  <si>
    <t xml:space="preserve">Electric savings </t>
  </si>
  <si>
    <t>Natural gas savings</t>
  </si>
  <si>
    <t>Car and bike sharing</t>
  </si>
  <si>
    <t>Transportation funding</t>
  </si>
  <si>
    <t>Scoring criteria</t>
  </si>
  <si>
    <t>Recommended source</t>
  </si>
  <si>
    <t>Transportation policies</t>
  </si>
  <si>
    <t>Grand totals</t>
  </si>
  <si>
    <t xml:space="preserve">Energy and water utility policies </t>
  </si>
  <si>
    <t>ACEEE scorecard detailed results</t>
  </si>
  <si>
    <t>Max scores</t>
  </si>
  <si>
    <t>Commercial benchmarking &amp; disclosure</t>
  </si>
  <si>
    <t>Residential benchmarking, rating, and disclosure policies</t>
  </si>
  <si>
    <t>Values calculated</t>
  </si>
  <si>
    <t>Codes study</t>
  </si>
  <si>
    <t xml:space="preserve">Values calculated </t>
  </si>
  <si>
    <t>Community-wide aggregated data</t>
  </si>
  <si>
    <t>Green Button Online</t>
  </si>
  <si>
    <t>Benchmarking</t>
  </si>
  <si>
    <t xml:space="preserve">Number of community households
</t>
  </si>
  <si>
    <t>Are policies in place that allow municipal workers to telecommute, use flexible schedules, or otherwise minimize the number of commutes to the office?</t>
  </si>
  <si>
    <r>
      <t xml:space="preserve">Scoring criteria
</t>
    </r>
    <r>
      <rPr>
        <b/>
        <sz val="8"/>
        <color theme="0"/>
        <rFont val="Calibri"/>
        <family val="2"/>
        <scheme val="minor"/>
      </rPr>
      <t>(Select best option from drop-down)</t>
    </r>
  </si>
  <si>
    <t>Above-code requirements for certain private buildings</t>
  </si>
  <si>
    <t>Progress toward goals</t>
  </si>
  <si>
    <t>Does the local wastewater utility self-generate energy through methane capture, CHP, or any other means?</t>
  </si>
  <si>
    <r>
      <rPr>
        <b/>
        <sz val="10.7"/>
        <color theme="0"/>
        <rFont val="Calibri"/>
        <family val="2"/>
        <scheme val="minor"/>
      </rPr>
      <t>Recommended</t>
    </r>
    <r>
      <rPr>
        <b/>
        <sz val="11"/>
        <color theme="0"/>
        <rFont val="Calibri"/>
        <family val="2"/>
        <scheme val="minor"/>
      </rPr>
      <t xml:space="preserve"> </t>
    </r>
    <r>
      <rPr>
        <b/>
        <sz val="10.7"/>
        <color theme="0"/>
        <rFont val="Calibri"/>
        <family val="2"/>
        <scheme val="minor"/>
      </rPr>
      <t>source</t>
    </r>
  </si>
  <si>
    <t>Does the local government's municipal zoning regulations promote location-efficient developments?</t>
  </si>
  <si>
    <t>No mandatory code adopted</t>
  </si>
  <si>
    <t>&lt; 2009 IECC</t>
  </si>
  <si>
    <t>Energy data provision</t>
  </si>
  <si>
    <t>Community Research</t>
  </si>
  <si>
    <t>Electric/natural gas efficiency spending and savings</t>
  </si>
  <si>
    <t>Community 
population</t>
  </si>
  <si>
    <t>Copyright © 2017 American Council for an Energy-Efficient Economy</t>
  </si>
  <si>
    <t>Stringency of goals</t>
  </si>
  <si>
    <t>Does your city employ a web-based fleet management portal or software that incorporates GPS technology to increase public fleet efficiency?</t>
  </si>
  <si>
    <t>Public Fleet efficiency</t>
  </si>
  <si>
    <t xml:space="preserve">The City has not yet engaged stakeholder groups or engaged in a planning process to set goals for an energy efficiency or greenhouse gas emission reduction target. </t>
  </si>
  <si>
    <t>Efficient distributed energy systems planning</t>
  </si>
  <si>
    <t>Location-efficient zoning codes</t>
  </si>
  <si>
    <t>Location efficiency incenctives and information</t>
  </si>
  <si>
    <t xml:space="preserve">Answer
</t>
  </si>
  <si>
    <t>Answer                                                     (Document programs and policies)</t>
  </si>
  <si>
    <t xml:space="preserve">Scoring criteria
</t>
  </si>
  <si>
    <t>Scoring criteria                                                                                                                                            (Select best option from drop-down)</t>
  </si>
  <si>
    <t>Freight ICT</t>
  </si>
  <si>
    <t>Encouraging energy-efficient freight deliveries</t>
  </si>
  <si>
    <t>5 to 14</t>
  </si>
  <si>
    <t>15 to 29</t>
  </si>
  <si>
    <t>30 to 39</t>
  </si>
  <si>
    <t>Electric vehicle charging stations infraestructure</t>
  </si>
  <si>
    <t>Public transit</t>
  </si>
  <si>
    <t>National Transit Database</t>
  </si>
  <si>
    <t>6 or more</t>
  </si>
  <si>
    <t>EIA Form 861 (2015)</t>
  </si>
  <si>
    <t>EIA Form 826 (2015)</t>
  </si>
  <si>
    <t>EIA Form 176 (2015)</t>
  </si>
  <si>
    <t>Electric utility spending on energy efficiency in 2015 ($ thousands)</t>
  </si>
  <si>
    <t>Total revenue of primary electric utility in 2015 ($ thousands)</t>
  </si>
  <si>
    <t>Energy savings from efficiency programs (MWh) by electric utility in 2015</t>
  </si>
  <si>
    <t>Total residential customers of primary natural gas utility in 2015</t>
  </si>
  <si>
    <t>Natural gas sales (Mcf) of utility in 2015</t>
  </si>
  <si>
    <t xml:space="preserve">Natural gas savings from efficiency programs (Mcf) by utility in 2015 </t>
  </si>
  <si>
    <t>less than 1%</t>
  </si>
  <si>
    <t>1.20% or greater</t>
  </si>
  <si>
    <t>Multifamily programs</t>
  </si>
  <si>
    <t>Low-income programs</t>
  </si>
  <si>
    <t>Code &gt; or equal 2015 IECC or ASHRAE 2013</t>
  </si>
  <si>
    <t>Code &gt; 2012 IECC or ASHRAE 2010</t>
  </si>
  <si>
    <t xml:space="preserve">Code 2012 IECC or ASHRAE 2010 </t>
  </si>
  <si>
    <t>Code &lt; 2012 IECC or ASHRAE 2010 or no mandatory code</t>
  </si>
  <si>
    <t>$50 or greater</t>
  </si>
  <si>
    <t>Oakland, CA</t>
  </si>
  <si>
    <t>Compliance verification  programs</t>
  </si>
  <si>
    <t>Dedicated staff for compliance</t>
  </si>
  <si>
    <t xml:space="preserve">Targetted energy efficiency programs </t>
  </si>
  <si>
    <t>Sustainable transportation strategies</t>
  </si>
  <si>
    <t>VMT and greenhouse gas emissions from transportation</t>
  </si>
  <si>
    <t>Mode shift targets</t>
  </si>
  <si>
    <t>Low-income transportation policies</t>
  </si>
  <si>
    <t>Transit-oriented development near affordable housing</t>
  </si>
  <si>
    <t>No</t>
  </si>
  <si>
    <t>Joint water-energy programs</t>
  </si>
  <si>
    <t>Water savings strategy</t>
  </si>
  <si>
    <t>Water utility energy efficiency programs</t>
  </si>
  <si>
    <t>Water utility self-generation</t>
  </si>
  <si>
    <t>Green infrastructure and stormwater plan</t>
  </si>
  <si>
    <t>Energy efficiency goal</t>
  </si>
  <si>
    <t>Greenhouse gas reduction goal</t>
  </si>
  <si>
    <t>Both</t>
  </si>
  <si>
    <t>None</t>
  </si>
  <si>
    <t>Stringency of goal</t>
  </si>
  <si>
    <t>Progress toward goal</t>
  </si>
  <si>
    <t>Formal adoption</t>
  </si>
  <si>
    <t>Option #1</t>
  </si>
  <si>
    <t>Option #2</t>
  </si>
  <si>
    <t>Option #3</t>
  </si>
  <si>
    <t>Option #4</t>
  </si>
  <si>
    <t>Corresponding row</t>
  </si>
  <si>
    <t>Data Validation Table</t>
  </si>
  <si>
    <t>The city has formally adopted a long-term energy efficiency goal for one portion of municipal government operations (e.g., a segment of public buildings).</t>
  </si>
  <si>
    <t>Procurement &amp; Construction policies</t>
  </si>
  <si>
    <t>The city has formally adopted a long-term greenhouse gas reduction goal for one portion of municipal government operations (e.g., a segment of public buildings).</t>
  </si>
  <si>
    <t>The city has formally adopted a long-term energy efficiency goal across municipal government operations.</t>
  </si>
  <si>
    <t>The city has identified an energy efficiency goal in a proposal or draft action plan but has not formally adopted the goal.</t>
  </si>
  <si>
    <t>D9</t>
  </si>
  <si>
    <t>The city has formally adopted a long-term green house gas reduction goal across municipal government operations.</t>
  </si>
  <si>
    <t>The city has identified a greenhouse gas reduction goal in a proposal or draft action plan but has not formally adopted the goal.</t>
  </si>
  <si>
    <t xml:space="preserve">Yes, the city has either adopted the Model Lighting Ordinance or has an energy efficiency standard in place for outdoor lighting that includes a lighting controls provision. </t>
  </si>
  <si>
    <t>No, a standard is not in place for energy efficient lighting.</t>
  </si>
  <si>
    <t xml:space="preserve">No, the city has not begun an outdoor lighting replacement and upgrade program. </t>
  </si>
  <si>
    <t xml:space="preserve">Yes, the city has begun significant outdoor lighting replacement and upgrade programs. </t>
  </si>
  <si>
    <t>Greenhouse gas/EE goal</t>
  </si>
  <si>
    <t>EE targets</t>
  </si>
  <si>
    <t>Greenhouse gas reduction target</t>
  </si>
  <si>
    <t>What are the average annual energy savings required to meet the goal?</t>
  </si>
  <si>
    <t>Does the local government annually release reports on progress toward community-wide goals and performance of efficiency-related efforts?</t>
  </si>
  <si>
    <t>What are the average annual greenhouse gas savings required to meet the goal?</t>
  </si>
  <si>
    <t>Does the local government annually release reports on progress toward community-wide goals and performance of greenhouse gas reduction efforts?</t>
  </si>
  <si>
    <t>GHG targets</t>
  </si>
  <si>
    <t xml:space="preserve">The city has adopted an energy efficiency goal for a neighborhood or district; or the city has initiated a planning process to establish a community-wide energy efficiency target but has not yet formally adopted the target. </t>
  </si>
  <si>
    <t>The city is on track to meet or exceed its community-wide energy efficiency-related goal.</t>
  </si>
  <si>
    <t xml:space="preserve">The city is not on track to achieve its community-wide energy efficiency-related goal, but it is projected to be within 25% of the goal. </t>
  </si>
  <si>
    <t>Efficient Distributed energy systems</t>
  </si>
  <si>
    <t>Urban heat islands</t>
  </si>
  <si>
    <t xml:space="preserve">The city has formally adopted a long-term community-wide GHG emissions reduction target or related target. </t>
  </si>
  <si>
    <t>The city is on track to meet or exceed its community-wide greenhouse gas reduction goal.</t>
  </si>
  <si>
    <t xml:space="preserve">The city is not on track to achieve its community-wide greenhouse gas reduction goal, but it is projected to be within 25% of the goal. </t>
  </si>
  <si>
    <t>Data validation chart</t>
  </si>
  <si>
    <t>Corresponding cell</t>
  </si>
  <si>
    <t>Adoption of goals</t>
  </si>
  <si>
    <t>Stringency/progress/public reporting</t>
  </si>
  <si>
    <t>GHG/EE Goals scoring-</t>
  </si>
  <si>
    <t>Sum of policy areas</t>
  </si>
  <si>
    <t>EE/GHG goals</t>
  </si>
  <si>
    <t>UHI</t>
  </si>
  <si>
    <t>DER</t>
  </si>
  <si>
    <t>Yes, the city has quantitative evidence demonstrating it is on track to reach its target(s).</t>
  </si>
  <si>
    <t>Average annual greenhouse gas reduction is greater than or equal to 2%.</t>
  </si>
  <si>
    <t>Yes, energy efficiency and/or lifecycle costs are considered in procurement policy.</t>
  </si>
  <si>
    <t>No, neither energy efficiency nor lifecycle costs are considered in procurement policy.</t>
  </si>
  <si>
    <t>Yes, energy efficiency requirements, such as ENERGY STAR or LEED, are in place.</t>
  </si>
  <si>
    <t>Yes, current government policies minimize municipal employee commutes.</t>
  </si>
  <si>
    <t>No, government policies are not in place to minimize municipal employee commutes.</t>
  </si>
  <si>
    <t>Although a policy is not place, the city has made substantial energy efficiency investments.</t>
  </si>
  <si>
    <t>D37</t>
  </si>
  <si>
    <t xml:space="preserve">Does your electric and/or natural gas utility offer a comprehensive low-income energy efficiency program? </t>
  </si>
  <si>
    <t xml:space="preserve">Yes, the electric utility offers a low-income energy efficiency program. </t>
  </si>
  <si>
    <t xml:space="preserve">No, the electric utility does not offer a low-income energy efficiency program. </t>
  </si>
  <si>
    <t xml:space="preserve">Yes, the natural gas utility offers a low-income energy efficiency program. </t>
  </si>
  <si>
    <t xml:space="preserve">No, the natural gas utility does not offer a low-income energy efficiency program. </t>
  </si>
  <si>
    <t xml:space="preserve">Yes, the electric utility offers a multifamily energy efficiency program. </t>
  </si>
  <si>
    <t xml:space="preserve">No, the electric utility does not offer a multifamily energy efficiency program. </t>
  </si>
  <si>
    <t xml:space="preserve">Yes, the natural gas utility offers a multifamily energy efficiency program. </t>
  </si>
  <si>
    <t xml:space="preserve">No, the natural gas utility does not offer a multifamily energy efficiency program. </t>
  </si>
  <si>
    <t xml:space="preserve">Yes, the electric and/or natural gas utility offers a comprehensive low-income energy efficiency program. </t>
  </si>
  <si>
    <t>Corresponding Cell</t>
  </si>
  <si>
    <t>Column1</t>
  </si>
  <si>
    <t>Sustainable transportation policies</t>
  </si>
  <si>
    <t xml:space="preserve">Yes, the city has specific VMT and/or GHG emissions reduction targets for the transportation sector. </t>
  </si>
  <si>
    <t xml:space="preserve">No, the city has no VMT or GHG emissions reduction targets for transportation. </t>
  </si>
  <si>
    <t>Efficient vehicles</t>
  </si>
  <si>
    <t>D53</t>
  </si>
  <si>
    <t>D54</t>
  </si>
  <si>
    <t>Affordable housing in TODs</t>
  </si>
  <si>
    <t>D58</t>
  </si>
  <si>
    <t>All Transit</t>
  </si>
  <si>
    <t xml:space="preserve">Yes, the city has passed a benchmarking requirement for commercial buildings. </t>
  </si>
  <si>
    <t xml:space="preserve">No, the city has not passed a benchmarking requirement for commercial buildings. </t>
  </si>
  <si>
    <t>D52</t>
  </si>
  <si>
    <t>D55</t>
  </si>
  <si>
    <t xml:space="preserve">Yes, the city has passed a benchmarking requirement for residential buildings. </t>
  </si>
  <si>
    <t xml:space="preserve">No, the city has not passed a benchmarking requirement for residential buildings. </t>
  </si>
  <si>
    <t xml:space="preserve">Yes, the city is actively running a program that encourages commercial buildings to benchmark their energy use. </t>
  </si>
  <si>
    <t>Energy efficiency &amp; GHG emissions reduction goals</t>
  </si>
  <si>
    <t>Community-wide GHG emissions reduction targets</t>
  </si>
  <si>
    <t xml:space="preserve">Mode shift targets </t>
  </si>
  <si>
    <t>Median Scores comparison</t>
  </si>
  <si>
    <t>Total</t>
  </si>
  <si>
    <t>Local Energy Efficiency Self-Scoring Tool, Version 3.0</t>
  </si>
  <si>
    <t>Procurement and construction policies</t>
  </si>
  <si>
    <t xml:space="preserve">Does your local government's procurement policy include considerations for energy efficiency or life-cycle cost? </t>
  </si>
  <si>
    <t>Does your local government require new municipal buildings to exceed city-wide energy codes or to achieve ENERGY STAR, LEED, or any other type of green building certification?</t>
  </si>
  <si>
    <t>Yes, the city has a fuel efficiency requirement for the public fleet or a requirement for fuel-efficient vehicle types such as hybrid or all-electric vehicles.</t>
  </si>
  <si>
    <t>No, the city does not have a fuel efficiency requirement for the public fleet or a requirement for fuel-efficient vehicle types such as hybrid or all-electric vehicles.</t>
  </si>
  <si>
    <t>Existence of goal</t>
  </si>
  <si>
    <t>Has your local government adopted a comprehensive retrofit strategy for all public buildings?</t>
  </si>
  <si>
    <t>No, the city does not have a comprehensive retrofit policy in place and has not made significant energy efficiency investments.</t>
  </si>
  <si>
    <t>Existence of goals</t>
  </si>
  <si>
    <t>Efficient distributed energy systems: district energy and combined heat and power</t>
  </si>
  <si>
    <t>No, the city has not pursued at least one activity to improve city capacity for district energy or CHP.</t>
  </si>
  <si>
    <t>Yes, the city has pursued at least one activity to assist other community actors with planning for a district energy system.</t>
  </si>
  <si>
    <t>No, the city has not pursued at least one activity to assist other community actors with planning for a district energy system.</t>
  </si>
  <si>
    <t>Has your city formally adopted a quantitative goal to mitigate the urban heat island effect and integrated it into a formal city plan or program?</t>
  </si>
  <si>
    <t>No, the city has not yet adopted an urban heat island mitigation goal as part of an official city planning document or program.</t>
  </si>
  <si>
    <t>No, the city has not implemented any of the listed policies to mitigate the urban heat island effect.</t>
  </si>
  <si>
    <t>Yes, the city has employed two of the listed policies to mitigate the urban heat island effect.</t>
  </si>
  <si>
    <t>Yes, the city has employed one of the listed policies to mitigate the urban heat island effect.</t>
  </si>
  <si>
    <t>Buildings policies total</t>
  </si>
  <si>
    <t>Requirements and incentives for efficient buildings</t>
  </si>
  <si>
    <t xml:space="preserve">Does your city have legal authority to pass a residential energy benchmarking ordinance?                                                                                                                                                    </t>
  </si>
  <si>
    <t xml:space="preserve">Does your city have legal authority to pass a commercial energy benchmarking ordinance?                                                                                                                                                    </t>
  </si>
  <si>
    <t>Which best describes your community's residential energy code adoption authority? 
(1) Code is set at the state level, and local adoption of more stringent codes is not permitted. 
(2) Code is set at the state level, but local adoption of more aggressive codes is permitted. 
(3) No statewide code exists, and local adoption of codes is permitted.</t>
  </si>
  <si>
    <t>Which best describes your community's commercial energy code adoption authority? 
(1) Code is set at the state level, and local adoption of more stringent codes is not permitted. 
(2) Code is set at the state level, but local adoption of more aggressive codes is permitted. 
(3) No statewide code exists, and local adoption of codes is permitted.</t>
  </si>
  <si>
    <t>Yes, the local government actively participates in the ICC model energy code development process.</t>
  </si>
  <si>
    <t>No, the local government does not actively participate in the ICC model energy code development process.</t>
  </si>
  <si>
    <t>ICC model energy code development</t>
  </si>
  <si>
    <t>City staffing for building energy code compliance</t>
  </si>
  <si>
    <t>Energy code training requirements for building code officials</t>
  </si>
  <si>
    <t>Energy code compliance strategies</t>
  </si>
  <si>
    <t>Up-front support for building energy code compliance</t>
  </si>
  <si>
    <t xml:space="preserve">Does your local government require training for code officials on energy code plan review and inspection? </t>
  </si>
  <si>
    <t>Yes, the local government requires training for building code officials.</t>
  </si>
  <si>
    <t>No, the local government does not require training for building code officials.</t>
  </si>
  <si>
    <t>No, the local government does not provide up-front support for building energy code compliance, nor does it host or promote state training efforts.</t>
  </si>
  <si>
    <t>Yes, the local government provides up-front support for building energy code compliance.</t>
  </si>
  <si>
    <t>Does the community have energy audit requirements for residential and/or commercial buildings?</t>
  </si>
  <si>
    <t>No, the community does not have energy audit requirements.</t>
  </si>
  <si>
    <t>Yes, the community has requirements for residential OR commercial buildings.</t>
  </si>
  <si>
    <t>Yes, the community has requirements for both residential AND commercial buildings.</t>
  </si>
  <si>
    <t xml:space="preserve">Does the local government have above-code green building requirements that include energy efficiency standards for certain categories of private buildings? </t>
  </si>
  <si>
    <t>Yes, the local government has above-code green requirements for certain categories of private residential AND commercial buildings.</t>
  </si>
  <si>
    <t>Yes, the local government has above-code green requirements for certain categories of private residential OR commercial buildings.</t>
  </si>
  <si>
    <t>No, the local government does not have above-code green requirements for certain categories of private buildings.</t>
  </si>
  <si>
    <t>No, the community does not have requirements.</t>
  </si>
  <si>
    <t xml:space="preserve">Does the local government provide incentives and/or financing programs for energy-efficient new construction or building improvements? If so, how many incentives and/or financing programs are offered? </t>
  </si>
  <si>
    <t>Transportation policies total</t>
  </si>
  <si>
    <t>Sustainable transportation plans and targets</t>
  </si>
  <si>
    <t>Sustainable transportation plan</t>
  </si>
  <si>
    <t>Freight system efficiency</t>
  </si>
  <si>
    <t>Affordable housing in transit-oriented developments</t>
  </si>
  <si>
    <t xml:space="preserve">Sustainable transportation plan </t>
  </si>
  <si>
    <t xml:space="preserve">Yes, the city has codified its VMT and/or GHG emissions reduction target. </t>
  </si>
  <si>
    <t xml:space="preserve">No, the city has not codified its VMT and/or GHG emissions reduction target. </t>
  </si>
  <si>
    <t>In its zoning code, has your city removed or reduced minimum parking requirements for new developments? If so, were these requirements removed for the entire city or certain neighborhoods?</t>
  </si>
  <si>
    <t>No minimum parking requirements are in place for new developments anywhere in the city.</t>
  </si>
  <si>
    <t>At least one zone, neighborhood, or district has no minimum parking requirements, or the whole city has a requirement of 0.5 spaces or fewer per unit.</t>
  </si>
  <si>
    <t>At least one zone, neighborhood, or district has a requirement of 0.5 or fewer spaces per unit, or the whole city has a requirement of 1 space or fewer per unit.</t>
  </si>
  <si>
    <t>At least one neighborhood has a requirement of 1 or fewer spaces per unit.</t>
  </si>
  <si>
    <t xml:space="preserve">Yes, a zoning code to encourage location-efficient development applies to the whole city. </t>
  </si>
  <si>
    <t>Yes, a zoning code to encourage location-efficient development applies to certain areas/neighborhoods.</t>
  </si>
  <si>
    <t>No, the community does not have a zoning code to encourage location-efficient development.</t>
  </si>
  <si>
    <t>Car and bicycle sharing</t>
  </si>
  <si>
    <t>Does the locality operate or support a car-sharing program? If not, is the local government working to develop a car-sharing program?</t>
  </si>
  <si>
    <t>Does the locality operate or support a bicycle-sharing program? If not, is the local government working to develop a bike-sharing program?</t>
  </si>
  <si>
    <t>Yes, the city supports or operates a car-sharing program.</t>
  </si>
  <si>
    <t xml:space="preserve">The city does not yet have a car-sharing program, but one is being developed. </t>
  </si>
  <si>
    <t>Yes, the city supports or operates a bicycle-sharing program.</t>
  </si>
  <si>
    <t xml:space="preserve">The city does not yet have a bicycle-sharing program, but one is being developed. </t>
  </si>
  <si>
    <t xml:space="preserve">Has the local government codified a modal share target? If the community has a goal but it is not codified, is it included as a component of a general sustainability plan? </t>
  </si>
  <si>
    <t xml:space="preserve">Yes, the local government has codified a modal share target. </t>
  </si>
  <si>
    <t xml:space="preserve">The local government has identified a modal share target in a sustainability plan, but it is not codified. </t>
  </si>
  <si>
    <t>Does the locality offer purchase incentives (such as tax credits, rebates, or sales tax exemptions) for hybrid, plug-in hybrid, or electric vehicles?</t>
  </si>
  <si>
    <t>Yes, the local government has 20 to 49 charging stations available for public use.</t>
  </si>
  <si>
    <t>Yes, the local government offers incentives to support the installation of electric vehicle charging stations.</t>
  </si>
  <si>
    <t>Yes, the locality has a sustainable freight plan or a freight mobility plan that outlines strategies to increase freight efficiency.</t>
  </si>
  <si>
    <t xml:space="preserve">Does your locality have a sustainable freight transportation strategy to increase the efficiency of freight movement? If not, does your locality have other standalone policies in place that address freight efficiency?                                                            </t>
  </si>
  <si>
    <t xml:space="preserve">Does your locality require, incentivize, or subsidize the creation or preservation of affordable housing in transit-served areas?                                                                                  </t>
  </si>
  <si>
    <t>Energy and water utilities</t>
  </si>
  <si>
    <t>Energy and water utilities total</t>
  </si>
  <si>
    <t>Low-income and multifamily energy efficiency programs</t>
  </si>
  <si>
    <t>Utilities' provision of energy data to customers</t>
  </si>
  <si>
    <t>What is the electric utility's energy efficiency savings as a percentage of sales?</t>
  </si>
  <si>
    <t xml:space="preserve">Does your electric utility offer an energy efficiency program targetting multifamily households? </t>
  </si>
  <si>
    <t>Yes, the electric utility offers a comprehensive multifamily energy efficiency program.</t>
  </si>
  <si>
    <t>No, the electric utility does not offer a comprehensive multifamily energy efficiency program.</t>
  </si>
  <si>
    <t>No, the natural gas utility does not offer a comprehensive multifamily energy efficiency program.</t>
  </si>
  <si>
    <t xml:space="preserve">Does your electric utility offer an energy efficiency program targetting low-income households? </t>
  </si>
  <si>
    <t xml:space="preserve">Does your natural gas utility offer an energy efficiency program targetting low-income costumers? </t>
  </si>
  <si>
    <t xml:space="preserve">Yes, the electric and/or natural gas utility partners with the local government, local nonprofits, and/or community organizations to design, advertise, and/or implement the low-income program. </t>
  </si>
  <si>
    <t>Does your electric and/or natural gas utility partner with the local government, local nonprofits, and/or community organizations to design, advertise, and/or implement the low-income program?</t>
  </si>
  <si>
    <t>Does the local government actively advocate for policy improvements in utilities' provision of energy data to customers? Or has the local government established data sharing agreements with utilities?</t>
  </si>
  <si>
    <t>Has the electric utility implemented the Green Button Download My Data, Green Button Connect My Data, or a comparable online service to provide customers with energy consumption data in a common electronic format?</t>
  </si>
  <si>
    <t>Does your utility provide automated benchmarking services through ENERGY STAR Portfolio Manager for multitenant commercial and/or multifamily buildings?</t>
  </si>
  <si>
    <t>Is community-wide energy usage information
available at the aggregate level for community planning and evaluation purposes on a monthly or annual basis?</t>
  </si>
  <si>
    <t>Yes, the city advocates for improvements or has established sharing agreements.</t>
  </si>
  <si>
    <t>Yes, the utility provides automated benchmarking services.</t>
  </si>
  <si>
    <t>Does the city have a plan that simultaneously addresses stormwater and green infrastructure development? If not, has the city implemented any green infrastructure projects?</t>
  </si>
  <si>
    <t>No, the water utility or city does not partner with the energy utility to offer joint water and energy efficiency programs, nor does the energy utility or city offer a water-efficiency program that does not include energy-saving measures.</t>
  </si>
  <si>
    <t xml:space="preserve">The city does not have a water savings target or a strategy for water savings, but the city has a non-revenue water target. </t>
  </si>
  <si>
    <t>The city and local utility do not have a water savings target, non-revenue water target, or long-term strategy for water savings.</t>
  </si>
  <si>
    <t xml:space="preserve">Yes, one or more utilities have a specific energy efficiency target or comprehensive energy efficiency strategy. </t>
  </si>
  <si>
    <t>Yes, the local wastewater utility self-generates energy.</t>
  </si>
  <si>
    <t>No, the local wastewater utility does not self-generate energy.</t>
  </si>
  <si>
    <t>TO BE HIDDEN</t>
  </si>
  <si>
    <t>Does your city require third-party performance testing (or commissioning) as part of its residential or commercial energy code compliance process?</t>
  </si>
  <si>
    <t xml:space="preserve">The city has a voluntary energy code compliance program. </t>
  </si>
  <si>
    <t xml:space="preserve">The city does not have an energy code compliance program. </t>
  </si>
  <si>
    <t>The city has a mandatory energy code compliance program.</t>
  </si>
  <si>
    <t>Census Bureau</t>
  </si>
  <si>
    <t xml:space="preserve">Does your city have specific VMT reduction targets or GHG emissions reduction targets for the transportation sector? </t>
  </si>
  <si>
    <t xml:space="preserve">Does your city offer incentives or have information disclosure policies to encourage compact, mixed-use development? If so, how many?  </t>
  </si>
  <si>
    <t>Alternative Fuels Data Center</t>
  </si>
  <si>
    <t>Median City Scorecard Scores</t>
  </si>
  <si>
    <t xml:space="preserve">Does your city have a standalone sustainable transportation plan? If not, has the city outlined sustainable transportation strategies as part of a broader city plan, like a climate action plan or sustainability plan? </t>
  </si>
  <si>
    <t>Yes, the city has a standalone sustainable transportation plan in place.</t>
  </si>
  <si>
    <t>No, the city does not administer programs or voluntary efforts to increase affordable housing in TODs.</t>
  </si>
  <si>
    <t>Yes, the city administers programs and voluntary efforts that amount to 1 point.</t>
  </si>
  <si>
    <t>Yes, the city administers programs and voluntary efforts that amount to 1.5 points.</t>
  </si>
  <si>
    <t>Yes, the city administers programs and voluntary efforts that amount to 2 points.</t>
  </si>
  <si>
    <t>Yes, the city administers programs and voluntary efforts that amount to 2.5 points.</t>
  </si>
  <si>
    <t>Building Codes Assistance Project</t>
  </si>
  <si>
    <t xml:space="preserve">No, the city does not have a mandatory commercial building energy code. </t>
  </si>
  <si>
    <t>City does not have legal authority.</t>
  </si>
  <si>
    <t>City has legal authority.</t>
  </si>
  <si>
    <t xml:space="preserve">What is the nearest target year of your city's goal? </t>
  </si>
  <si>
    <t>Energy efficiency goal information</t>
  </si>
  <si>
    <t>Greenhouse gas emissions reduction goal information</t>
  </si>
  <si>
    <t>EE Progress</t>
  </si>
  <si>
    <t>GHG Progress</t>
  </si>
  <si>
    <t>Progress calculations</t>
  </si>
  <si>
    <t>Total % change</t>
  </si>
  <si>
    <t>District energy &amp; CHP</t>
  </si>
  <si>
    <t>.</t>
  </si>
  <si>
    <t>EE Total</t>
  </si>
  <si>
    <t>GHG Total</t>
  </si>
  <si>
    <t>Total goals</t>
  </si>
  <si>
    <t>Reporting</t>
  </si>
  <si>
    <t>Stringency/progress towards goal</t>
  </si>
  <si>
    <t>Building energy code compliance strategies sum</t>
  </si>
  <si>
    <t>Progress towards goal</t>
  </si>
  <si>
    <t>Public reporting</t>
  </si>
  <si>
    <t>If the local government has adopted a community-wide energy efficiency target, is it on track to achieve it?</t>
  </si>
  <si>
    <t>If the local government has adopted a community-wide greenhouse gas reduction target, is it on track to achieve it?</t>
  </si>
  <si>
    <t>Median City Scorecard scores</t>
  </si>
  <si>
    <t xml:space="preserve">Does your community have an energy efficiency or GHG emissions reduction goal across municipal government operations? Or does your city have both?  </t>
  </si>
  <si>
    <t>IMT Building Benchmarking Map</t>
  </si>
  <si>
    <t>Community-wide energy efficiency–related goals</t>
  </si>
  <si>
    <t>Local government energy efficiency–related goals</t>
  </si>
  <si>
    <t>Benchmarking and transparency</t>
  </si>
  <si>
    <t>Building benchmarking, rating, and energy use transparency</t>
  </si>
  <si>
    <t>Electriity sales (MWh) of electric utility in 2015</t>
  </si>
  <si>
    <t>Energy efficiency goals</t>
  </si>
  <si>
    <r>
      <rPr>
        <b/>
        <sz val="11"/>
        <rFont val="Calibri"/>
        <family val="2"/>
        <scheme val="minor"/>
      </rPr>
      <t>Average</t>
    </r>
    <r>
      <rPr>
        <sz val="11"/>
        <rFont val="Calibri"/>
        <family val="2"/>
        <scheme val="minor"/>
      </rPr>
      <t xml:space="preserve"> total funding from five most recent years for transit systems that serve the community</t>
    </r>
  </si>
  <si>
    <t>Electric vehicle charging station infrastructure</t>
  </si>
  <si>
    <t>Has the local government enacted a Complete Streets policy? If a policy is in place, what is the community's National Complete Streets Coalition (NCSC) score?</t>
  </si>
  <si>
    <t xml:space="preserve">Does your locality use an Internet-based application or service to help coordinate freight transportation?                                                                              </t>
  </si>
  <si>
    <t>Bike-Sharing World Map</t>
  </si>
  <si>
    <t>Smart Growth America</t>
  </si>
  <si>
    <t>Does the community have retrofit or retrocommissioning requirements for private residential and/or commercial buildings?</t>
  </si>
  <si>
    <t>What is the reduction target in the nearest target year (e.g., 10%, 20%, 30%)?</t>
  </si>
  <si>
    <t xml:space="preserve">In what year did your city adopt the goal? </t>
  </si>
  <si>
    <t xml:space="preserve">What is the most recent year for which your city has data available? </t>
  </si>
  <si>
    <t>Has your local government adopted the International Dark-Sky Association's Model Lighting Ordinance for its public outdoor lighting? If not, has your city adopted its own lighting policy with a lighting controls provision, which prohibits the use of lighting when sufficient daylight is available?</t>
  </si>
  <si>
    <t xml:space="preserve">What is the most recent year for which your city has data available?  </t>
  </si>
  <si>
    <t xml:space="preserve">What was your city's energy consumption or total GHG emissions in the year for which the most recent data are available? </t>
  </si>
  <si>
    <t xml:space="preserve">What was your city's energy consumption or total GHG emissions in the adoption year? </t>
  </si>
  <si>
    <t xml:space="preserve">What was your city's energy consumption or total GHG emissions in the baseline year of the goal? </t>
  </si>
  <si>
    <t>Has your local government formally adopted a long-term, community-wide energy efficiency goal or a related target?  If not, has a community-wide goal been identified in a plan? Or has a stakeholder group been created to formulate such a goal?</t>
  </si>
  <si>
    <t>Has your local government formally adopted a long-term, community-wide greenhouse gas reduction goal or a related target? If not, has a community-wide goal been identified in a plan?  Or has a stakeholder group been created to formulate such a goal?</t>
  </si>
  <si>
    <t xml:space="preserve">Has your city dedicated city resources to assisting other community actors with planning for a district energy system by doing any of the following activities? 
(1) Developed a program or policy within one or more city agencies (e.g., planning, housing, or development authority) to integrate CHP and/or district energy into future developments.
(2) Dedicated city staff to district energy planning and development.
(3) Developed at least one integrated energy master plan for a high-priority area.   
</t>
  </si>
  <si>
    <t>Does your local government have at least one regular, full-time employee whose primary duties include energy code compliance?</t>
  </si>
  <si>
    <t xml:space="preserve">Does your local government provide developers, builders, or owners with up-front support on building energy code compliance? </t>
  </si>
  <si>
    <t>Does your city administer a compliance verification program? If so, is the program mandatory, or is it a voluntary option to your city’s energy code compliance process?</t>
  </si>
  <si>
    <t>Natural gas utility spending on energy efficiency in 2015 ($ thousands)</t>
  </si>
  <si>
    <t xml:space="preserve">What is the natural gas utility's energy efficiency savings as a percentage of sales? </t>
  </si>
  <si>
    <t xml:space="preserve">If your electric utility offers an energy efficiency program for multifamily households, is it a comprehensive program? </t>
  </si>
  <si>
    <t xml:space="preserve">Does your natural gas utility offer an energy efficiency program targetting multifamily households? </t>
  </si>
  <si>
    <t xml:space="preserve">If your natural gas utility offers an energy efficiency program for multifamily customers, is it a comprehensive program? </t>
  </si>
  <si>
    <t xml:space="preserve">Do the local water and energy utility partner to jointly administer energy and water efficiency programs? </t>
  </si>
  <si>
    <t xml:space="preserve">Has the city formalized a water savings target, or has the local water utility developed a long-term strategy for water savings? If not, has the city developed a non-revenue water savings target? </t>
  </si>
  <si>
    <t>Does at least one drinking water or wastewater utility serving the city have a specific energy efficiency target or comprehensive energy efficiency strategy? If not, has the utility (or utilities) pursued some energy efficiency initiatives?</t>
  </si>
  <si>
    <t>Metropolitan statistical area population (in most recent year for which data are available)</t>
  </si>
  <si>
    <t xml:space="preserve">What was the average per capita transit funding in your city for the five most recent years? </t>
  </si>
  <si>
    <t>Does the local government offer incentives to support the installation of electric vehicle charging infrastructure?</t>
  </si>
  <si>
    <t>Does your community provide electric vehicle (EV) charging stations for public use? If so, how many?</t>
  </si>
  <si>
    <t>D40</t>
  </si>
  <si>
    <t>Yes, the city publicly reports on its progress towards goals at least annually.</t>
  </si>
  <si>
    <t>The city is not on track to meet its near-term target but is projected to achieve savings within 25% of stated target.</t>
  </si>
  <si>
    <t>The city is not projected to achieve savings within 25% of target or does not have quantitative savings data proving it is on track.</t>
  </si>
  <si>
    <t>No, the city does not publicly or annually report on its progress towards goals.</t>
  </si>
  <si>
    <t>Average annual greenhouse gas reduction is below 1%, or data are insufficient to calculate.</t>
  </si>
  <si>
    <t>No, the city does not employ fleet management software that incorporates GPS technology to increase public fleet efficiency.</t>
  </si>
  <si>
    <t>Yes, the city has a comprehensive retrofit that strategy that covers all municipal buildings and includes building-specific operational and capital improvement actions.</t>
  </si>
  <si>
    <t>50–74.9%</t>
  </si>
  <si>
    <t>0–49.9%</t>
  </si>
  <si>
    <t>Yes, the city has pursued at least one activity to improve city capacity for district energy or CHP.</t>
  </si>
  <si>
    <t>The city regularly releases public quantitative progress reports on its greenhouse gas reduction efforts.</t>
  </si>
  <si>
    <t>The city does not regularly release public quantitative progress reports on its greenhouse gas reduction efforts.</t>
  </si>
  <si>
    <t>The city has formally adopted a long-term community-wide energy efficiency target for multiple community sectors (residential, commercial, industrial).</t>
  </si>
  <si>
    <t>The city has formally adopted a long-term community-wide energy efficiency target for one community sector (residential, commercial, industrial).</t>
  </si>
  <si>
    <t>The city does not regularly release public quantitative progress reports on its energy or climate efforts.</t>
  </si>
  <si>
    <t>Average annual emissions reduction is less than 1% or data are insufficient to calculate.</t>
  </si>
  <si>
    <t>Average annual energy savings is greater than or equal to 2%.</t>
  </si>
  <si>
    <t xml:space="preserve">Average annual energy savings is below 1% or data are insufficient to calculate. </t>
  </si>
  <si>
    <t>Procurement</t>
  </si>
  <si>
    <t>Asset Mgt</t>
  </si>
  <si>
    <t>Local Govt Total</t>
  </si>
  <si>
    <t xml:space="preserve">No, the city does not support or operate a car-sharing program and is not developing one. </t>
  </si>
  <si>
    <t xml:space="preserve">No, the city does not support or operate a bicycle-sharing program and is not developing one. </t>
  </si>
  <si>
    <t>Yes, NCSC score is greater than or equal to 75.</t>
  </si>
  <si>
    <t>Yes, the city has a Complete Streets policy but does not have an NCSC score.</t>
  </si>
  <si>
    <t xml:space="preserve">No, the city has not enacted a Complete Streets policy. </t>
  </si>
  <si>
    <t>Greater than or equal to 40</t>
  </si>
  <si>
    <t>less than 5</t>
  </si>
  <si>
    <t>Yes, the local government has 50 or more charging stations available for public use.</t>
  </si>
  <si>
    <t xml:space="preserve">No, the locality does not have a freight plan or any freight efficiency strategies. </t>
  </si>
  <si>
    <t>No, the locality does not have an Internet-based application or service to help coordinate freight transportation.</t>
  </si>
  <si>
    <t xml:space="preserve">Average annual energy savings is greater than or equal to 2%. </t>
  </si>
  <si>
    <t>Average annual emissions reduction is greater than or equal to 2%.</t>
  </si>
  <si>
    <t>Municipally owned utility</t>
  </si>
  <si>
    <t>2.50–3.99%</t>
  </si>
  <si>
    <t>1.50–2.49%</t>
  </si>
  <si>
    <t>Option #5</t>
  </si>
  <si>
    <t>Option #6</t>
  </si>
  <si>
    <t>1–1.49%</t>
  </si>
  <si>
    <t>Less than 1%</t>
  </si>
  <si>
    <t>3.00–3.99%</t>
  </si>
  <si>
    <t>2.50–2.99%</t>
  </si>
  <si>
    <t>2.00–2.49%</t>
  </si>
  <si>
    <t>1.50–1.99%</t>
  </si>
  <si>
    <t>1.00–1.49%</t>
  </si>
  <si>
    <t>Option #7</t>
  </si>
  <si>
    <t xml:space="preserve">Yes, the locality and utility have developed a formal partnership. </t>
  </si>
  <si>
    <t xml:space="preserve">The locality and utility do not have a formal partnership but have collaborated on planning, coordinating, or implementing an energy efficiency project or program. </t>
  </si>
  <si>
    <t xml:space="preserve">No, the locality does not partner with the utility. </t>
  </si>
  <si>
    <t>$5–49.99</t>
  </si>
  <si>
    <t>$25–49.99</t>
  </si>
  <si>
    <t>$5–24.99</t>
  </si>
  <si>
    <t>1.80–1.99%</t>
  </si>
  <si>
    <t>1.40–1.79%</t>
  </si>
  <si>
    <t>1.00–1.39%</t>
  </si>
  <si>
    <t>0.2–0.59%</t>
  </si>
  <si>
    <t>Less than 0.2%</t>
  </si>
  <si>
    <t>0.70–1.19%</t>
  </si>
  <si>
    <t xml:space="preserve">0.20–0.69% </t>
  </si>
  <si>
    <t>Less than 0.20%</t>
  </si>
  <si>
    <t>Yes, the natural gas utility offers a comprehensive multifamily energy efficiency program.</t>
  </si>
  <si>
    <t xml:space="preserve">No, the electric and/or natural gas utility does not partner with the local government, local nonprofits, or community organizations to design, advertise, or implement the low-income program. </t>
  </si>
  <si>
    <t xml:space="preserve">No, the electric and/or natural gas utility does not offer a comprehensive low-income energy efficiency program. </t>
  </si>
  <si>
    <t xml:space="preserve">No, the city does not advocate for improvements, nor has it established sharing agreements. </t>
  </si>
  <si>
    <t xml:space="preserve">Yes, the utility has implemented GreenButton Download My Data or a similar online service. </t>
  </si>
  <si>
    <t xml:space="preserve">No, the utility does not provide automated benchmarking services. </t>
  </si>
  <si>
    <t xml:space="preserve">Yes, aggregate energy usage data for the community are available. </t>
  </si>
  <si>
    <t xml:space="preserve">No, aggregate energy usage data for the community are not available. </t>
  </si>
  <si>
    <t>D59</t>
  </si>
  <si>
    <t xml:space="preserve">Yes, the city has a plan that addresses stormwater and green infrastructure development. </t>
  </si>
  <si>
    <t xml:space="preserve">The city does not have a plan but has pursued some green infrastructure projects. </t>
  </si>
  <si>
    <t xml:space="preserve">No, the city does not have a plan that addresses stormwater and green infrastructure development. </t>
  </si>
  <si>
    <t>D60</t>
  </si>
  <si>
    <t xml:space="preserve">Yes, the water utility or city partners with the energy utility to offer joint water and energy efficiency programs. </t>
  </si>
  <si>
    <t xml:space="preserve">The energy utility or city offers a water-efficiency program that does not include energy-savings measures. </t>
  </si>
  <si>
    <t>Yes, the city has a formalized water savings target or the local water utility has a long-term strategy for water savings.</t>
  </si>
  <si>
    <t>D61</t>
  </si>
  <si>
    <t>D62</t>
  </si>
  <si>
    <t>D63</t>
  </si>
  <si>
    <t>Utilities do not have a savings target in place but are pursuing some energy efficiency initiatives.</t>
  </si>
  <si>
    <t xml:space="preserve">No, utilities serving the city do not have a specific energy efficiency target or comprehensive energy efficiency strategy, nor are they pursuing energy efficiency initiatives. </t>
  </si>
  <si>
    <t>The local wastewater utility captures energy resources but does not use them onsite.</t>
  </si>
  <si>
    <t>3.5–3.99%</t>
  </si>
  <si>
    <t>3–3.49%</t>
  </si>
  <si>
    <t>2.5–2.99%</t>
  </si>
  <si>
    <t>2–2.49%</t>
  </si>
  <si>
    <t>1–1.99%</t>
  </si>
  <si>
    <t>0.40–0.99%</t>
  </si>
  <si>
    <t>Investor-owned utility</t>
  </si>
  <si>
    <t>No, the utility has not implemented GreenButton Download My Data or a similar service.</t>
  </si>
  <si>
    <t>D11, D12</t>
  </si>
  <si>
    <t>D13, D14</t>
  </si>
  <si>
    <t>D56</t>
  </si>
  <si>
    <t>D57</t>
  </si>
  <si>
    <t>State authority only.</t>
  </si>
  <si>
    <t>Local authority permitted.</t>
  </si>
  <si>
    <t>Local code only.</t>
  </si>
  <si>
    <t xml:space="preserve">Code is ≥ 2015 IECC. </t>
  </si>
  <si>
    <t xml:space="preserve">Code = 2012 IECC. </t>
  </si>
  <si>
    <t>Code is &lt; 2012 IECC but &gt; 2009 IECC.</t>
  </si>
  <si>
    <t>Code is &gt; 2012 IECC but &lt; 2015 IECC.</t>
  </si>
  <si>
    <t>Code is ≤ 2009 IECC, or there is no mandatory code, or state does not set codes.</t>
  </si>
  <si>
    <t>Code is &gt; 2015 IECC.</t>
  </si>
  <si>
    <t>Code = 2015 IECC.</t>
  </si>
  <si>
    <t>Code is ≤ 2009 IECC or less stringent than state code.</t>
  </si>
  <si>
    <t>No, the city does not have a mandatory residential building energy code.</t>
  </si>
  <si>
    <t>Code is ≥ 2015 IECC.</t>
  </si>
  <si>
    <t>Code is ≤ 2009 IECC, or there is no mandatory code.</t>
  </si>
  <si>
    <t>Yes, the city is an active advocate.</t>
  </si>
  <si>
    <t>No, the city is not an active advocate.</t>
  </si>
  <si>
    <t>Code is ≥ 2015 IECC or ASHRAE 2013.</t>
  </si>
  <si>
    <t>Code is &gt; 2012 IECC or ASHRAE 2010 but &lt; 2015 IECC or ASHRAE 2013.</t>
  </si>
  <si>
    <t xml:space="preserve">Code = 2012 IECC or ASHRAE 2010. </t>
  </si>
  <si>
    <t>Code is &lt; 2012 IECC or ASHRAE 2010, or there is no mandatory code.</t>
  </si>
  <si>
    <t>Code is &gt; 2015 IECC or ASHRAE 2013.</t>
  </si>
  <si>
    <t>Code = 2015 IECC or ASHRAE 2013.</t>
  </si>
  <si>
    <t>Code is ≥ 2012 IECC or ASHRAE 2010 but &lt; 2015 IECC or ASHRAE 2013.</t>
  </si>
  <si>
    <t>Code is &lt; 2012 IECC or ASHRAE 2010 or is less stringent than state code.</t>
  </si>
  <si>
    <t>Code ≥ 2015 IECC or ASHRAE 2013.</t>
  </si>
  <si>
    <t>Yes, the local government has at least one regular, full-time employee whose primary duties include energy code compliance.</t>
  </si>
  <si>
    <t>No, the local government does not have a regular, full-time employee whose primary duties include energy code compliance.</t>
  </si>
  <si>
    <t>The local government does not provide up-front support for building energy code compliance, but it hosts and actively promotes state-run training opportunities in the community.</t>
  </si>
  <si>
    <t xml:space="preserve">Yes, the city requires third-party performance testing (or commissioning) as part of its residential or commercial energy code compliance process. </t>
  </si>
  <si>
    <t>No, the city does not require third-party performance testing as part of its residential or commercial energy code compliance process.</t>
  </si>
  <si>
    <t xml:space="preserve">No, the city is not running a program to encourage energy benchmarking in commercial buildings. </t>
  </si>
  <si>
    <t xml:space="preserve">Yes, the city’s commercial benchmarking or energy use transparency requirement is in effect. </t>
  </si>
  <si>
    <t xml:space="preserve">No, the city’s commercial benchmarking or energy use transparency requirement is not in effect. </t>
  </si>
  <si>
    <r>
      <t>No, the city does not run a voluntary program that encourages building owners to benchmark energy use.</t>
    </r>
    <r>
      <rPr>
        <sz val="8"/>
        <color theme="1"/>
        <rFont val="Book Antiqua"/>
        <family val="1"/>
      </rPr>
      <t> </t>
    </r>
  </si>
  <si>
    <t>Yes, the city offers assistance to building owners for meeting building energy performance metrics.</t>
  </si>
  <si>
    <t>No, the city does not offer assistance to building owners for meeting building energy performance metrics.</t>
  </si>
  <si>
    <t xml:space="preserve">Yes, the city offers assistance to building owners for meeting building energy performance metrics. </t>
  </si>
  <si>
    <t xml:space="preserve">No, the city does not offer assistance to building owners for meeting building energy performance metrics. </t>
  </si>
  <si>
    <t xml:space="preserve">Yes, the city actively runs a program that encourages residential building owners to benchmark energy use. </t>
  </si>
  <si>
    <t xml:space="preserve">No, the city does not run a program to encourage energy benchmarking in residential buildings. </t>
  </si>
  <si>
    <t>Yes, the city’s residential benchmarking or energy use transparency requirement is in effect.</t>
  </si>
  <si>
    <t>No, the city’s residential benchmarking or energy use transparency requirement is not in effect.</t>
  </si>
  <si>
    <r>
      <t>No, the city does not run a voluntary program that encourages buildings to benchmark their energy use.</t>
    </r>
    <r>
      <rPr>
        <sz val="8"/>
        <color theme="1"/>
        <rFont val="Book Antiqua"/>
        <family val="1"/>
      </rPr>
      <t> </t>
    </r>
  </si>
  <si>
    <t>Yes, energy efficiency features are on the MLS.</t>
  </si>
  <si>
    <t>No, energy efficiency features are not on the MLS.</t>
  </si>
  <si>
    <r>
      <t>Code is ≥ 2012 IECC but &lt; 2015 IECC</t>
    </r>
    <r>
      <rPr>
        <sz val="11"/>
        <color rgb="FF000000"/>
        <rFont val="Calibri"/>
        <family val="2"/>
      </rPr>
      <t>.</t>
    </r>
  </si>
  <si>
    <r>
      <t>Code is &gt; 2012 IECC but &lt; 2015 IECC</t>
    </r>
    <r>
      <rPr>
        <sz val="11"/>
        <color rgb="FF000000"/>
        <rFont val="Calibri"/>
        <family val="2"/>
      </rPr>
      <t>.</t>
    </r>
  </si>
  <si>
    <r>
      <t xml:space="preserve">Has your city worked to improve city capacity for district energy or CHP by doing any of the following activities?            </t>
    </r>
    <r>
      <rPr>
        <sz val="11"/>
        <color theme="1"/>
        <rFont val="Calibri"/>
        <family val="2"/>
        <scheme val="minor"/>
      </rPr>
      <t>(1) Identified high-priority areas for potential new district energy systems.
(2) Developed recommended standards for designing building heating, ventilation, and air-conditioning systems to ensure compatibility with future district energy systems.
(3) Developed an ecodistrict or a similar district with an energy focus.</t>
    </r>
  </si>
  <si>
    <t>Has your city implemented any of the following policies aimed at mitigating the urban heat island effect?                   (1) Low-impact development (LID) policy: Includes LID stormwater management ordinance or incentives, cool roof/pavement policies, and green roof policies.
(2) Private tree protection ordinance: Includes tree ordinances that require a permit to remove existing trees on private property undergoing development.
(3) Private land conservation policy: Includes conservation subdivision ordinances, cluster house zoning, transfer of development rights policies, and incentives for land conservation.</t>
  </si>
  <si>
    <t>Three</t>
  </si>
  <si>
    <t>Two</t>
  </si>
  <si>
    <t>One</t>
  </si>
  <si>
    <t>Zero</t>
  </si>
  <si>
    <t>Four or more</t>
  </si>
  <si>
    <t>Last Update: 08/23/17</t>
  </si>
  <si>
    <t>City Scorecard median</t>
  </si>
  <si>
    <t>Information and communications technologies (ICT) for freight</t>
  </si>
  <si>
    <t>Average annual energy savings is greater than or equal to 1% and less than 2%.</t>
  </si>
  <si>
    <t>Average annual greenhouse gas reduction is greater than or equal to 1% and less than 2%.</t>
  </si>
  <si>
    <t>The city is not on track to meet near-term target but is projected to achieve savings within 25% of stated target.</t>
  </si>
  <si>
    <t>Yes, the city employs fleet management software that incorporates GPS technology to increase public fleet efficiency.</t>
  </si>
  <si>
    <t>No, the city does not publicly or annually report on the its progress towards goals.</t>
  </si>
  <si>
    <t xml:space="preserve">Average annual energy savings is is greater than or equal to 1% and less than 2%. </t>
  </si>
  <si>
    <t xml:space="preserve">Average annual energy savings is less than 1%, or data are insufficient to calculate. </t>
  </si>
  <si>
    <t xml:space="preserve">The city is not on track to be within 25% of its community-wide energy efficiency related-goal. </t>
  </si>
  <si>
    <t>The city regularly releases public quantitative progress reports on its energy or climate efforts.</t>
  </si>
  <si>
    <t>The city has engaged a stakeholder group or initiatied a similar planning process to set goals for GHG emissions reduction, but it has not yet formally adopted a target.</t>
  </si>
  <si>
    <t>Average annual emissions reduction is is greater than or equal to 1% and less than 2%.</t>
  </si>
  <si>
    <t xml:space="preserve">The city is not on track to be within 25% of its community-wide greenhouse gas reduction goal. </t>
  </si>
  <si>
    <t>Yes, the city formally adopted a quantitative goal to mitigate the urban heat island effect, such as an urban-canopy or temperature-reduction goal.</t>
  </si>
  <si>
    <t>Yes, the city has articulated sustainable transportation strategies as part of a broader plan (e.g., climate action plan or sustainability plan).</t>
  </si>
  <si>
    <t xml:space="preserve">No, the city does not have a standalone transportation plan, nor does it outline sustainable transportation strategies in any other general plan. </t>
  </si>
  <si>
    <t>Yes, the NCSC score is greater than or equal to 50 and less than 75.</t>
  </si>
  <si>
    <t>Yes, the NCSC score is greater than or equal to 25 and less than 50.</t>
  </si>
  <si>
    <t>Yes, the NCSC score is less than 25.</t>
  </si>
  <si>
    <t>Greater than or equal to $400</t>
  </si>
  <si>
    <t>$250 to $399</t>
  </si>
  <si>
    <t>$150 to $249</t>
  </si>
  <si>
    <t>$100 to $149</t>
  </si>
  <si>
    <t>$50 to $99</t>
  </si>
  <si>
    <t>$25 to $49</t>
  </si>
  <si>
    <t>less than $25</t>
  </si>
  <si>
    <t>Yes, city incentives are in place for the purchase of high-efficiency vehicles.</t>
  </si>
  <si>
    <t>No, city incentives are not in place for the purchase of high-efficiency vehicles.</t>
  </si>
  <si>
    <t>The local government has fewer than 20 charging stations available for public use.</t>
  </si>
  <si>
    <t>The locality does not have a comprehensive freight plan, but it uses at least one freight efficiency strategy.</t>
  </si>
  <si>
    <t>Yes, the locality has an Internet-based application or service to help coordinate freight transportation.</t>
  </si>
  <si>
    <t xml:space="preserve">No, the local government does not offer incentives to support the installation of electric vehicle charging stations. </t>
  </si>
  <si>
    <t>No, the local government has not identified a modal share target.</t>
  </si>
  <si>
    <t>No, energy efficiency requirements are not in place for new public buildings.</t>
  </si>
  <si>
    <t>Yes, the city administers programs and voluntary efforts that amount to 3 points.</t>
  </si>
  <si>
    <t>Yes, the city administers one voluntary effort.</t>
  </si>
  <si>
    <t>Ee projected annual change</t>
  </si>
  <si>
    <t>GHG projected annual change</t>
  </si>
  <si>
    <t>Goals calculations</t>
  </si>
  <si>
    <t>0.60–0.99%</t>
  </si>
  <si>
    <t>Yes, the city runs a voluntary program that encourages buildings to benchmark energy use.</t>
  </si>
  <si>
    <t>D51/D52</t>
  </si>
  <si>
    <t>D58/59</t>
  </si>
  <si>
    <t>Yes, the city runs a voluntary program that encourages building owners to benchmark energy use.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</si>
</sst>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_);_(* \(#,##0\);_(* &quot;-&quot;_);_(@_)"/>
    <numFmt numFmtId="44" formatCode="_(&quot;$&quot;* #,##0.00_);_(&quot;$&quot;* \(#,##0.00\);_(&quot;$&quot;* &quot;-&quot;??_);_(@_)"/>
    <numFmt numFmtId="43" formatCode="_(* #,##0.00_);_(* \(#,##0.00\);_(* &quot;-&quot;??_);_(@_)"/>
    <numFmt numFmtId="164" formatCode="0.0"/>
    <numFmt numFmtId="165" formatCode="&quot;$&quot;#,##0.00"/>
    <numFmt numFmtId="166" formatCode="0.0%"/>
    <numFmt numFmtId="167" formatCode="_(* #,##0_);_(* \(#,##0\);_(* &quot;-&quot;??_);_(@_)"/>
    <numFmt numFmtId="168" formatCode="&quot;$&quot;#,##0"/>
  </numFmts>
  <fonts count="46">
    <font>
      <sz val="11"/>
      <color theme="1"/>
      <name val="Calibri"/>
      <family val="2"/>
      <scheme val="minor"/>
    </font>
    <font>
      <b/>
      <sz val="11"/>
      <color theme="0"/>
      <name val="Calibri"/>
      <family val="2"/>
      <scheme val="minor"/>
    </font>
    <font>
      <sz val="11"/>
      <color theme="0"/>
      <name val="Calibri"/>
      <family val="2"/>
      <scheme val="minor"/>
    </font>
    <font>
      <b/>
      <sz val="11"/>
      <color theme="0"/>
      <name val="Calibri"/>
      <family val="2"/>
      <scheme val="minor"/>
    </font>
    <font>
      <b/>
      <sz val="16"/>
      <color theme="0"/>
      <name val="Calibri"/>
      <family val="2"/>
      <scheme val="minor"/>
    </font>
    <font>
      <b/>
      <sz val="11"/>
      <color theme="1"/>
      <name val="Calibri"/>
      <family val="2"/>
      <scheme val="minor"/>
    </font>
    <font>
      <i/>
      <sz val="11"/>
      <color theme="1"/>
      <name val="Calibri"/>
      <family val="2"/>
      <scheme val="minor"/>
    </font>
    <font>
      <b/>
      <sz val="11"/>
      <name val="Calibri"/>
      <family val="2"/>
      <scheme val="minor"/>
    </font>
    <font>
      <u/>
      <sz val="11"/>
      <color theme="10"/>
      <name val="Calibri"/>
      <family val="2"/>
      <scheme val="minor"/>
    </font>
    <font>
      <sz val="24"/>
      <color theme="1"/>
      <name val="Calibri"/>
      <family val="2"/>
      <scheme val="minor"/>
    </font>
    <font>
      <sz val="11"/>
      <name val="Calibri"/>
      <family val="2"/>
      <scheme val="minor"/>
    </font>
    <font>
      <sz val="8"/>
      <color indexed="81"/>
      <name val="Tahoma"/>
      <family val="2"/>
    </font>
    <font>
      <b/>
      <sz val="8"/>
      <color indexed="81"/>
      <name val="Tahoma"/>
      <family val="2"/>
    </font>
    <font>
      <b/>
      <sz val="16"/>
      <color theme="1"/>
      <name val="Calibri"/>
      <family val="2"/>
      <scheme val="minor"/>
    </font>
    <font>
      <sz val="11"/>
      <color rgb="FFFF0000"/>
      <name val="Calibri"/>
      <family val="2"/>
      <scheme val="minor"/>
    </font>
    <font>
      <b/>
      <i/>
      <sz val="11"/>
      <color theme="1"/>
      <name val="Calibri"/>
      <family val="2"/>
      <scheme val="minor"/>
    </font>
    <font>
      <sz val="11"/>
      <color theme="1"/>
      <name val="Calibri"/>
      <family val="2"/>
    </font>
    <font>
      <sz val="11"/>
      <color theme="1"/>
      <name val="Calibri"/>
      <family val="2"/>
      <scheme val="minor"/>
    </font>
    <font>
      <sz val="10"/>
      <name val="Arial"/>
      <family val="2"/>
    </font>
    <font>
      <b/>
      <sz val="16"/>
      <name val="Calibri"/>
      <family val="2"/>
      <scheme val="minor"/>
    </font>
    <font>
      <sz val="14"/>
      <name val="Calibri"/>
      <family val="2"/>
      <scheme val="minor"/>
    </font>
    <font>
      <sz val="12"/>
      <name val="Calibri"/>
      <family val="2"/>
      <scheme val="minor"/>
    </font>
    <font>
      <b/>
      <sz val="8"/>
      <color theme="0"/>
      <name val="Calibri"/>
      <family val="2"/>
      <scheme val="minor"/>
    </font>
    <font>
      <u/>
      <sz val="10"/>
      <color indexed="12"/>
      <name val="Arial"/>
      <family val="2"/>
    </font>
    <font>
      <sz val="10"/>
      <name val="MS Sans Serif"/>
      <family val="2"/>
    </font>
    <font>
      <u/>
      <sz val="10"/>
      <color indexed="12"/>
      <name val="MS Sans Serif"/>
      <family val="2"/>
    </font>
    <font>
      <sz val="10"/>
      <name val="Albertus Medium"/>
      <family val="2"/>
    </font>
    <font>
      <b/>
      <sz val="20"/>
      <color theme="0"/>
      <name val="Calibri"/>
      <family val="2"/>
      <scheme val="minor"/>
    </font>
    <font>
      <b/>
      <sz val="12"/>
      <color theme="0"/>
      <name val="Calibri"/>
      <family val="2"/>
      <scheme val="minor"/>
    </font>
    <font>
      <sz val="9"/>
      <color indexed="81"/>
      <name val="Tahoma"/>
      <family val="2"/>
    </font>
    <font>
      <b/>
      <sz val="14"/>
      <color theme="0"/>
      <name val="Calibri"/>
      <family val="2"/>
      <scheme val="minor"/>
    </font>
    <font>
      <b/>
      <sz val="24"/>
      <color theme="0"/>
      <name val="Calibri"/>
      <family val="2"/>
      <scheme val="minor"/>
    </font>
    <font>
      <sz val="11"/>
      <color rgb="FF9C0006"/>
      <name val="Calibri"/>
      <family val="2"/>
      <scheme val="minor"/>
    </font>
    <font>
      <b/>
      <sz val="10.7"/>
      <color theme="0"/>
      <name val="Calibri"/>
      <family val="2"/>
      <scheme val="minor"/>
    </font>
    <font>
      <sz val="10"/>
      <color indexed="81"/>
      <name val="Tahoma"/>
      <family val="2"/>
    </font>
    <font>
      <b/>
      <sz val="10"/>
      <color indexed="81"/>
      <name val="Tahoma"/>
      <family val="2"/>
    </font>
    <font>
      <sz val="12"/>
      <color theme="1"/>
      <name val="Calibri"/>
      <family val="2"/>
      <scheme val="minor"/>
    </font>
    <font>
      <b/>
      <sz val="11"/>
      <color theme="0"/>
      <name val="Calibri"/>
      <family val="2"/>
      <scheme val="minor"/>
    </font>
    <font>
      <b/>
      <sz val="10"/>
      <name val="Arial"/>
      <family val="2"/>
    </font>
    <font>
      <b/>
      <sz val="9"/>
      <color indexed="81"/>
      <name val="Tahoma"/>
      <family val="2"/>
    </font>
    <font>
      <b/>
      <i/>
      <sz val="10"/>
      <color indexed="81"/>
      <name val="Tahoma"/>
      <family val="2"/>
    </font>
    <font>
      <b/>
      <i/>
      <u/>
      <sz val="10"/>
      <color indexed="81"/>
      <name val="Tahoma"/>
      <family val="2"/>
    </font>
    <font>
      <b/>
      <sz val="11"/>
      <name val="Calibri"/>
      <family val="2"/>
      <scheme val="minor"/>
    </font>
    <font>
      <sz val="11"/>
      <name val="Calibri"/>
      <family val="2"/>
      <scheme val="minor"/>
    </font>
    <font>
      <sz val="11"/>
      <color rgb="FF000000"/>
      <name val="Calibri"/>
      <family val="2"/>
    </font>
    <font>
      <sz val="8"/>
      <color theme="1"/>
      <name val="Book Antiqua"/>
      <family val="1"/>
    </font>
  </fonts>
  <fills count="15">
    <fill>
      <patternFill patternType="none"/>
    </fill>
    <fill>
      <patternFill patternType="gray125"/>
    </fill>
    <fill>
      <patternFill patternType="solid">
        <fgColor theme="3" tint="-0.249977111117893"/>
        <bgColor indexed="64"/>
      </patternFill>
    </fill>
    <fill>
      <patternFill patternType="solid">
        <fgColor theme="4" tint="0.79998168889431442"/>
        <bgColor indexed="64"/>
      </patternFill>
    </fill>
    <fill>
      <patternFill patternType="solid">
        <fgColor theme="4" tint="-0.499984740745262"/>
        <bgColor indexed="64"/>
      </patternFill>
    </fill>
    <fill>
      <patternFill patternType="solid">
        <fgColor theme="4" tint="0.59999389629810485"/>
        <bgColor indexed="64"/>
      </patternFill>
    </fill>
    <fill>
      <patternFill patternType="solid">
        <fgColor rgb="FFFFFF00"/>
        <bgColor indexed="64"/>
      </patternFill>
    </fill>
    <fill>
      <patternFill patternType="solid">
        <fgColor theme="6" tint="0.39997558519241921"/>
        <bgColor indexed="64"/>
      </patternFill>
    </fill>
    <fill>
      <patternFill patternType="solid">
        <fgColor theme="0"/>
        <bgColor indexed="64"/>
      </patternFill>
    </fill>
    <fill>
      <patternFill patternType="solid">
        <fgColor rgb="FFFFC7CE"/>
      </patternFill>
    </fill>
    <fill>
      <patternFill patternType="solid">
        <fgColor theme="3" tint="0.79998168889431442"/>
        <bgColor indexed="64"/>
      </patternFill>
    </fill>
    <fill>
      <patternFill patternType="solid">
        <fgColor theme="4"/>
        <bgColor theme="4"/>
      </patternFill>
    </fill>
    <fill>
      <patternFill patternType="solid">
        <fgColor theme="4" tint="0.79998168889431442"/>
        <bgColor theme="4" tint="0.79998168889431442"/>
      </patternFill>
    </fill>
    <fill>
      <patternFill patternType="solid">
        <fgColor rgb="FFB8CCE4"/>
        <bgColor indexed="64"/>
      </patternFill>
    </fill>
    <fill>
      <patternFill patternType="solid">
        <fgColor theme="5" tint="0.79998168889431442"/>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style="thin">
        <color theme="4" tint="0.39997558519241921"/>
      </left>
      <right/>
      <top/>
      <bottom style="thin">
        <color theme="4" tint="0.39997558519241921"/>
      </bottom>
      <diagonal/>
    </border>
    <border>
      <left/>
      <right/>
      <top/>
      <bottom style="thin">
        <color theme="4" tint="0.39997558519241921"/>
      </bottom>
      <diagonal/>
    </border>
    <border>
      <left/>
      <right style="thin">
        <color theme="4" tint="0.39997558519241921"/>
      </right>
      <top/>
      <bottom style="thin">
        <color theme="4" tint="0.39997558519241921"/>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rgb="FFBFBFBF"/>
      </left>
      <right style="medium">
        <color rgb="FFBFBFBF"/>
      </right>
      <top style="medium">
        <color rgb="FFBFBFBF"/>
      </top>
      <bottom style="medium">
        <color rgb="FFBFBFBF"/>
      </bottom>
      <diagonal/>
    </border>
    <border>
      <left/>
      <right style="medium">
        <color rgb="FFBFBFBF"/>
      </right>
      <top style="medium">
        <color rgb="FFBFBFBF"/>
      </top>
      <bottom style="medium">
        <color rgb="FFBFBFBF"/>
      </bottom>
      <diagonal/>
    </border>
    <border>
      <left/>
      <right style="medium">
        <color rgb="FFBFBFBF"/>
      </right>
      <top/>
      <bottom/>
      <diagonal/>
    </border>
    <border>
      <left style="medium">
        <color indexed="64"/>
      </left>
      <right style="medium">
        <color indexed="64"/>
      </right>
      <top style="medium">
        <color indexed="64"/>
      </top>
      <bottom style="medium">
        <color indexed="64"/>
      </bottom>
      <diagonal/>
    </border>
  </borders>
  <cellStyleXfs count="19">
    <xf numFmtId="0" fontId="0" fillId="0" borderId="0"/>
    <xf numFmtId="0" fontId="8" fillId="0" borderId="0" applyNumberFormat="0" applyFill="0" applyBorder="0" applyAlignment="0" applyProtection="0"/>
    <xf numFmtId="43" fontId="17" fillId="0" borderId="0" applyFont="0" applyFill="0" applyBorder="0" applyAlignment="0" applyProtection="0"/>
    <xf numFmtId="9" fontId="17" fillId="0" borderId="0" applyFont="0" applyFill="0" applyBorder="0" applyAlignment="0" applyProtection="0"/>
    <xf numFmtId="0" fontId="18" fillId="0" borderId="0"/>
    <xf numFmtId="43" fontId="18" fillId="0" borderId="0" applyFont="0" applyFill="0" applyBorder="0" applyAlignment="0" applyProtection="0"/>
    <xf numFmtId="44" fontId="18" fillId="0" borderId="0" applyFont="0" applyFill="0" applyBorder="0" applyAlignment="0" applyProtection="0"/>
    <xf numFmtId="0" fontId="23" fillId="0" borderId="0" applyNumberFormat="0" applyFill="0" applyBorder="0" applyAlignment="0" applyProtection="0">
      <alignment vertical="top"/>
      <protection locked="0"/>
    </xf>
    <xf numFmtId="0" fontId="25" fillId="0" borderId="0" applyNumberFormat="0" applyFill="0" applyBorder="0" applyAlignment="0" applyProtection="0"/>
    <xf numFmtId="0" fontId="17" fillId="0" borderId="0"/>
    <xf numFmtId="0" fontId="24" fillId="0" borderId="0"/>
    <xf numFmtId="0" fontId="17" fillId="0" borderId="0"/>
    <xf numFmtId="0" fontId="17" fillId="0" borderId="0"/>
    <xf numFmtId="0" fontId="24" fillId="0" borderId="0"/>
    <xf numFmtId="0" fontId="26" fillId="0" borderId="0"/>
    <xf numFmtId="9" fontId="18" fillId="0" borderId="0" applyFont="0" applyFill="0" applyBorder="0" applyAlignment="0" applyProtection="0"/>
    <xf numFmtId="166" fontId="18" fillId="0" borderId="0" applyFont="0" applyFill="0" applyBorder="0" applyAlignment="0" applyProtection="0"/>
    <xf numFmtId="0" fontId="32" fillId="9" borderId="0" applyNumberFormat="0" applyBorder="0" applyAlignment="0" applyProtection="0"/>
    <xf numFmtId="44" fontId="17" fillId="0" borderId="0" applyFont="0" applyFill="0" applyBorder="0" applyAlignment="0" applyProtection="0"/>
  </cellStyleXfs>
  <cellXfs count="448">
    <xf numFmtId="0" fontId="0" fillId="0" borderId="0" xfId="0"/>
    <xf numFmtId="0" fontId="1" fillId="2" borderId="0" xfId="0" applyFont="1" applyFill="1" applyBorder="1" applyAlignment="1">
      <alignment horizontal="center" vertical="center" wrapText="1"/>
    </xf>
    <xf numFmtId="0" fontId="0" fillId="0" borderId="0" xfId="0" applyBorder="1"/>
    <xf numFmtId="0" fontId="1" fillId="0" borderId="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0" fillId="0" borderId="0" xfId="0" applyFill="1" applyBorder="1"/>
    <xf numFmtId="0" fontId="5" fillId="0" borderId="0" xfId="0" applyFont="1"/>
    <xf numFmtId="0" fontId="5" fillId="3" borderId="1" xfId="0" applyFont="1" applyFill="1" applyBorder="1" applyAlignment="1">
      <alignment vertical="center"/>
    </xf>
    <xf numFmtId="49" fontId="0" fillId="0" borderId="0" xfId="0" applyNumberFormat="1"/>
    <xf numFmtId="0" fontId="0" fillId="0" borderId="0" xfId="0" applyNumberFormat="1"/>
    <xf numFmtId="1" fontId="0" fillId="0" borderId="0" xfId="0" applyNumberFormat="1"/>
    <xf numFmtId="164" fontId="0" fillId="0" borderId="0" xfId="0" applyNumberFormat="1"/>
    <xf numFmtId="0" fontId="0" fillId="0" borderId="0" xfId="0" applyFont="1"/>
    <xf numFmtId="1" fontId="5" fillId="0" borderId="0" xfId="0" applyNumberFormat="1" applyFont="1"/>
    <xf numFmtId="0" fontId="13" fillId="0" borderId="0" xfId="0" applyFont="1"/>
    <xf numFmtId="0" fontId="0" fillId="5" borderId="2" xfId="0" applyFill="1" applyBorder="1" applyAlignment="1">
      <alignment horizontal="center"/>
    </xf>
    <xf numFmtId="0" fontId="5" fillId="0" borderId="0" xfId="0" applyNumberFormat="1" applyFont="1"/>
    <xf numFmtId="164" fontId="0" fillId="5" borderId="2" xfId="0" applyNumberFormat="1" applyFill="1" applyBorder="1" applyAlignment="1">
      <alignment horizontal="center"/>
    </xf>
    <xf numFmtId="0" fontId="1" fillId="2" borderId="17" xfId="0" applyFont="1" applyFill="1" applyBorder="1" applyAlignment="1">
      <alignment horizontal="center" vertical="top" wrapText="1"/>
    </xf>
    <xf numFmtId="0" fontId="0" fillId="5" borderId="13" xfId="0" applyFill="1" applyBorder="1" applyAlignment="1">
      <alignment horizontal="center" vertical="center" wrapText="1"/>
    </xf>
    <xf numFmtId="0" fontId="6" fillId="3" borderId="1" xfId="0" applyNumberFormat="1" applyFont="1" applyFill="1" applyBorder="1" applyAlignment="1">
      <alignment horizontal="center"/>
    </xf>
    <xf numFmtId="0" fontId="16" fillId="0" borderId="0" xfId="0" applyFont="1"/>
    <xf numFmtId="0" fontId="8" fillId="5" borderId="13" xfId="1" applyFill="1" applyBorder="1" applyAlignment="1">
      <alignment horizontal="center" vertical="center" wrapText="1"/>
    </xf>
    <xf numFmtId="0" fontId="1" fillId="4" borderId="10" xfId="0" applyNumberFormat="1" applyFont="1" applyFill="1" applyBorder="1" applyAlignment="1">
      <alignment horizontal="left"/>
    </xf>
    <xf numFmtId="0" fontId="15" fillId="3" borderId="1" xfId="0" applyNumberFormat="1" applyFont="1" applyFill="1" applyBorder="1" applyAlignment="1">
      <alignment horizontal="left"/>
    </xf>
    <xf numFmtId="0" fontId="5" fillId="3" borderId="1" xfId="0" applyNumberFormat="1" applyFont="1" applyFill="1" applyBorder="1" applyAlignment="1">
      <alignment horizontal="left"/>
    </xf>
    <xf numFmtId="0" fontId="15" fillId="3" borderId="1" xfId="0" applyNumberFormat="1" applyFont="1" applyFill="1" applyBorder="1" applyAlignment="1">
      <alignment horizontal="left" vertical="top"/>
    </xf>
    <xf numFmtId="0" fontId="1" fillId="4" borderId="20" xfId="0" applyNumberFormat="1" applyFont="1" applyFill="1" applyBorder="1" applyAlignment="1">
      <alignment horizontal="left"/>
    </xf>
    <xf numFmtId="0" fontId="10" fillId="3" borderId="7" xfId="0" applyFont="1" applyFill="1" applyBorder="1" applyAlignment="1" applyProtection="1">
      <alignment horizontal="left" vertical="top" wrapText="1"/>
      <protection locked="0"/>
    </xf>
    <xf numFmtId="0" fontId="10" fillId="3" borderId="1" xfId="0" applyFont="1" applyFill="1" applyBorder="1" applyAlignment="1" applyProtection="1">
      <alignment horizontal="left" vertical="top" wrapText="1"/>
      <protection locked="0"/>
    </xf>
    <xf numFmtId="0" fontId="0" fillId="3" borderId="1" xfId="0" applyFill="1" applyBorder="1" applyAlignment="1" applyProtection="1">
      <alignment vertical="top" wrapText="1"/>
      <protection locked="0"/>
    </xf>
    <xf numFmtId="2" fontId="0" fillId="3" borderId="1" xfId="0" applyNumberFormat="1" applyFill="1" applyBorder="1" applyAlignment="1" applyProtection="1">
      <alignment vertical="top" wrapText="1"/>
      <protection locked="0"/>
    </xf>
    <xf numFmtId="0" fontId="0" fillId="3" borderId="1" xfId="0" applyFill="1" applyBorder="1" applyAlignment="1" applyProtection="1">
      <alignment horizontal="left" vertical="top" wrapText="1"/>
      <protection locked="0"/>
    </xf>
    <xf numFmtId="0" fontId="0" fillId="3" borderId="1" xfId="0" applyNumberFormat="1" applyFont="1" applyFill="1" applyBorder="1" applyAlignment="1" applyProtection="1">
      <alignment horizontal="left" vertical="top" wrapText="1"/>
      <protection locked="0"/>
    </xf>
    <xf numFmtId="0" fontId="0" fillId="3" borderId="1" xfId="0" applyFont="1" applyFill="1" applyBorder="1" applyAlignment="1" applyProtection="1">
      <alignment horizontal="left" vertical="top" wrapText="1"/>
      <protection locked="0"/>
    </xf>
    <xf numFmtId="0" fontId="0" fillId="3" borderId="1" xfId="0" applyNumberFormat="1" applyFill="1" applyBorder="1" applyAlignment="1" applyProtection="1">
      <alignment horizontal="left" vertical="top" wrapText="1"/>
      <protection locked="0"/>
    </xf>
    <xf numFmtId="0" fontId="10" fillId="3" borderId="11" xfId="0" applyFont="1" applyFill="1" applyBorder="1" applyAlignment="1" applyProtection="1">
      <alignment horizontal="center" vertical="top" wrapText="1"/>
      <protection locked="0"/>
    </xf>
    <xf numFmtId="49" fontId="0" fillId="3" borderId="1" xfId="0" applyNumberFormat="1" applyFill="1" applyBorder="1" applyAlignment="1" applyProtection="1">
      <alignment vertical="top" wrapText="1"/>
      <protection locked="0"/>
    </xf>
    <xf numFmtId="0" fontId="0" fillId="5" borderId="16" xfId="0" applyFill="1" applyBorder="1" applyAlignment="1">
      <alignment horizontal="center" vertical="center" wrapText="1"/>
    </xf>
    <xf numFmtId="10" fontId="0" fillId="3" borderId="1" xfId="0" applyNumberFormat="1" applyFill="1" applyBorder="1" applyAlignment="1" applyProtection="1">
      <alignment vertical="top" wrapText="1"/>
      <protection locked="0"/>
    </xf>
    <xf numFmtId="9" fontId="5" fillId="0" borderId="0" xfId="0" applyNumberFormat="1" applyFont="1"/>
    <xf numFmtId="0" fontId="5" fillId="3" borderId="5"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2" borderId="25" xfId="0" applyFont="1" applyFill="1" applyBorder="1" applyAlignment="1">
      <alignment vertical="center"/>
    </xf>
    <xf numFmtId="0" fontId="19" fillId="0" borderId="0" xfId="0" applyFont="1" applyFill="1" applyBorder="1" applyAlignment="1">
      <alignment horizontal="left"/>
    </xf>
    <xf numFmtId="0" fontId="0" fillId="7" borderId="1" xfId="0" applyFill="1" applyBorder="1" applyAlignment="1">
      <alignment vertical="top" wrapText="1"/>
    </xf>
    <xf numFmtId="0" fontId="10" fillId="3" borderId="1" xfId="0" applyFont="1" applyFill="1" applyBorder="1" applyAlignment="1" applyProtection="1">
      <alignment horizontal="left" vertical="center" wrapText="1"/>
      <protection locked="0"/>
    </xf>
    <xf numFmtId="0" fontId="10" fillId="3" borderId="1" xfId="0" applyFont="1" applyFill="1" applyBorder="1" applyAlignment="1" applyProtection="1">
      <alignment horizontal="left" wrapText="1"/>
      <protection locked="0"/>
    </xf>
    <xf numFmtId="0" fontId="10" fillId="7" borderId="1" xfId="0" applyFont="1" applyFill="1" applyBorder="1" applyAlignment="1">
      <alignment horizontal="left" vertical="center" wrapText="1"/>
    </xf>
    <xf numFmtId="0" fontId="4" fillId="8" borderId="0" xfId="0" applyFont="1" applyFill="1" applyBorder="1" applyAlignment="1">
      <alignment horizontal="center"/>
    </xf>
    <xf numFmtId="0" fontId="0" fillId="8" borderId="0" xfId="0" applyFill="1" applyBorder="1"/>
    <xf numFmtId="0" fontId="20" fillId="8" borderId="0" xfId="0" applyFont="1" applyFill="1" applyBorder="1" applyAlignment="1">
      <alignment horizontal="left"/>
    </xf>
    <xf numFmtId="0" fontId="19" fillId="8" borderId="0" xfId="0" applyFont="1" applyFill="1" applyBorder="1" applyAlignment="1">
      <alignment horizontal="center"/>
    </xf>
    <xf numFmtId="0" fontId="4" fillId="8" borderId="0" xfId="0" applyFont="1" applyFill="1" applyBorder="1" applyAlignment="1">
      <alignment horizontal="left"/>
    </xf>
    <xf numFmtId="0" fontId="0" fillId="8" borderId="0" xfId="0" applyFill="1" applyBorder="1" applyAlignment="1" applyProtection="1">
      <alignment horizontal="left" vertical="top" wrapText="1"/>
      <protection locked="0"/>
    </xf>
    <xf numFmtId="0" fontId="0" fillId="8" borderId="0" xfId="0" applyFill="1" applyBorder="1" applyAlignment="1" applyProtection="1">
      <alignment vertical="top" wrapText="1"/>
      <protection locked="0"/>
    </xf>
    <xf numFmtId="0" fontId="0" fillId="8" borderId="0" xfId="0" applyFill="1" applyBorder="1" applyAlignment="1">
      <alignment horizontal="center" vertical="center"/>
    </xf>
    <xf numFmtId="0" fontId="1" fillId="8" borderId="0" xfId="0" applyFont="1" applyFill="1" applyBorder="1" applyAlignment="1">
      <alignment horizontal="center" vertical="center" wrapText="1"/>
    </xf>
    <xf numFmtId="0" fontId="0" fillId="8" borderId="0" xfId="0" applyFill="1" applyBorder="1" applyAlignment="1">
      <alignment vertical="top" wrapText="1"/>
    </xf>
    <xf numFmtId="0" fontId="19" fillId="8" borderId="0" xfId="0" applyFont="1" applyFill="1" applyBorder="1" applyAlignment="1">
      <alignment horizontal="left"/>
    </xf>
    <xf numFmtId="0" fontId="28" fillId="8" borderId="0" xfId="0" applyFont="1" applyFill="1" applyBorder="1" applyAlignment="1">
      <alignment horizontal="center"/>
    </xf>
    <xf numFmtId="0" fontId="1" fillId="8" borderId="0" xfId="0" applyFont="1" applyFill="1" applyBorder="1" applyAlignment="1">
      <alignment horizontal="center"/>
    </xf>
    <xf numFmtId="0" fontId="14" fillId="8" borderId="0" xfId="0" applyFont="1" applyFill="1" applyBorder="1"/>
    <xf numFmtId="164" fontId="21" fillId="8" borderId="0" xfId="0" applyNumberFormat="1" applyFont="1" applyFill="1" applyBorder="1" applyAlignment="1">
      <alignment horizontal="center"/>
    </xf>
    <xf numFmtId="0" fontId="1" fillId="8" borderId="0" xfId="0" applyFont="1" applyFill="1" applyBorder="1" applyAlignment="1">
      <alignment vertical="center"/>
    </xf>
    <xf numFmtId="0" fontId="8" fillId="8" borderId="0" xfId="1" applyFill="1"/>
    <xf numFmtId="0" fontId="1" fillId="2" borderId="1"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30" fillId="2" borderId="31" xfId="0" applyFont="1" applyFill="1" applyBorder="1" applyAlignment="1">
      <alignment horizontal="center" vertical="center" wrapText="1"/>
    </xf>
    <xf numFmtId="0" fontId="1" fillId="2" borderId="32" xfId="0" applyFont="1" applyFill="1" applyBorder="1" applyAlignment="1">
      <alignment horizontal="center" vertical="center" wrapText="1"/>
    </xf>
    <xf numFmtId="0" fontId="1" fillId="2" borderId="33"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0" fillId="5" borderId="29" xfId="0" applyFill="1" applyBorder="1" applyAlignment="1">
      <alignment horizontal="center" vertical="center"/>
    </xf>
    <xf numFmtId="0" fontId="1" fillId="2" borderId="14" xfId="0" applyFont="1" applyFill="1" applyBorder="1" applyAlignment="1">
      <alignment horizontal="center" vertical="center" wrapText="1"/>
    </xf>
    <xf numFmtId="0" fontId="0" fillId="3" borderId="15" xfId="0" applyFill="1" applyBorder="1" applyAlignment="1" applyProtection="1">
      <alignment horizontal="left" vertical="top" wrapText="1"/>
      <protection locked="0"/>
    </xf>
    <xf numFmtId="0" fontId="0" fillId="3" borderId="15" xfId="0" applyFill="1" applyBorder="1" applyAlignment="1" applyProtection="1">
      <alignment vertical="top" wrapText="1"/>
      <protection locked="0"/>
    </xf>
    <xf numFmtId="0" fontId="0" fillId="5" borderId="16" xfId="0" applyFill="1" applyBorder="1" applyAlignment="1">
      <alignment horizontal="center" vertical="center"/>
    </xf>
    <xf numFmtId="2" fontId="0" fillId="3" borderId="15" xfId="0" applyNumberFormat="1" applyFill="1" applyBorder="1" applyAlignment="1" applyProtection="1">
      <alignment vertical="top" wrapText="1"/>
      <protection locked="0"/>
    </xf>
    <xf numFmtId="0" fontId="1" fillId="2" borderId="35" xfId="0" applyFont="1" applyFill="1" applyBorder="1" applyAlignment="1">
      <alignment horizontal="center" vertical="center" wrapText="1"/>
    </xf>
    <xf numFmtId="0" fontId="10" fillId="8" borderId="0" xfId="0" applyFont="1" applyFill="1" applyBorder="1"/>
    <xf numFmtId="0" fontId="0" fillId="8" borderId="0" xfId="0" applyFill="1"/>
    <xf numFmtId="0" fontId="1" fillId="8" borderId="0" xfId="0" applyFont="1" applyFill="1" applyBorder="1" applyAlignment="1">
      <alignment horizontal="center" vertical="top" wrapText="1"/>
    </xf>
    <xf numFmtId="0" fontId="18" fillId="8" borderId="0" xfId="4" applyFont="1" applyFill="1"/>
    <xf numFmtId="0" fontId="0" fillId="8" borderId="0" xfId="0" applyFill="1" applyBorder="1" applyAlignment="1">
      <alignment horizontal="center"/>
    </xf>
    <xf numFmtId="164" fontId="0" fillId="5" borderId="21" xfId="0" applyNumberFormat="1" applyFill="1" applyBorder="1"/>
    <xf numFmtId="0" fontId="27" fillId="8" borderId="0" xfId="0" applyFont="1" applyFill="1" applyBorder="1" applyAlignment="1"/>
    <xf numFmtId="0" fontId="30" fillId="2" borderId="27" xfId="0" applyFont="1" applyFill="1" applyBorder="1" applyAlignment="1">
      <alignment horizontal="center" vertical="center"/>
    </xf>
    <xf numFmtId="0" fontId="21" fillId="5" borderId="12" xfId="0" applyFont="1" applyFill="1" applyBorder="1" applyAlignment="1">
      <alignment horizontal="center"/>
    </xf>
    <xf numFmtId="0" fontId="21" fillId="5" borderId="14" xfId="0" applyFont="1" applyFill="1" applyBorder="1" applyAlignment="1">
      <alignment horizontal="center"/>
    </xf>
    <xf numFmtId="0" fontId="1" fillId="2" borderId="17" xfId="0" applyFont="1" applyFill="1" applyBorder="1" applyAlignment="1">
      <alignment vertical="top" wrapText="1"/>
    </xf>
    <xf numFmtId="0" fontId="8" fillId="5" borderId="29" xfId="1" applyFill="1" applyBorder="1" applyAlignment="1">
      <alignment horizontal="center" vertical="center" wrapText="1"/>
    </xf>
    <xf numFmtId="0" fontId="0" fillId="7" borderId="37" xfId="0" applyFill="1" applyBorder="1" applyAlignment="1">
      <alignment vertical="top" wrapText="1"/>
    </xf>
    <xf numFmtId="0" fontId="0" fillId="5" borderId="13" xfId="0" applyFill="1" applyBorder="1" applyAlignment="1">
      <alignment horizontal="center" vertical="center"/>
    </xf>
    <xf numFmtId="0" fontId="0" fillId="7" borderId="15" xfId="0" applyFill="1" applyBorder="1" applyAlignment="1">
      <alignment vertical="top" wrapText="1"/>
    </xf>
    <xf numFmtId="0" fontId="1" fillId="2" borderId="17" xfId="0" applyFont="1" applyFill="1" applyBorder="1" applyAlignment="1">
      <alignment vertical="center" wrapText="1"/>
    </xf>
    <xf numFmtId="0" fontId="1" fillId="8" borderId="2" xfId="0" applyFont="1" applyFill="1" applyBorder="1" applyAlignment="1">
      <alignment horizontal="center" vertical="center" wrapText="1"/>
    </xf>
    <xf numFmtId="164" fontId="0" fillId="8" borderId="2" xfId="0" applyNumberFormat="1" applyFill="1" applyBorder="1" applyAlignment="1">
      <alignment horizontal="center"/>
    </xf>
    <xf numFmtId="0" fontId="3" fillId="8" borderId="0" xfId="0" applyFont="1" applyFill="1" applyBorder="1" applyAlignment="1">
      <alignment horizontal="center" vertical="center" wrapText="1"/>
    </xf>
    <xf numFmtId="0" fontId="0" fillId="8" borderId="2" xfId="0" applyFill="1" applyBorder="1"/>
    <xf numFmtId="0" fontId="1" fillId="8" borderId="0" xfId="0" applyFont="1" applyFill="1" applyBorder="1" applyAlignment="1">
      <alignment vertical="top" wrapText="1"/>
    </xf>
    <xf numFmtId="0" fontId="0" fillId="8" borderId="0" xfId="0" applyFill="1" applyBorder="1" applyAlignment="1">
      <alignment horizontal="left"/>
    </xf>
    <xf numFmtId="0" fontId="0" fillId="8" borderId="0" xfId="0" applyFill="1" applyBorder="1" applyAlignment="1" applyProtection="1">
      <alignment horizontal="left" vertical="top"/>
      <protection locked="0"/>
    </xf>
    <xf numFmtId="0" fontId="8" fillId="8" borderId="0" xfId="1" applyFill="1" applyBorder="1" applyAlignment="1">
      <alignment horizontal="center" vertical="center"/>
    </xf>
    <xf numFmtId="0" fontId="8" fillId="5" borderId="13" xfId="1" applyFill="1" applyBorder="1" applyAlignment="1">
      <alignment horizontal="center" vertical="center"/>
    </xf>
    <xf numFmtId="0" fontId="0" fillId="3" borderId="15" xfId="0" applyNumberFormat="1" applyFill="1" applyBorder="1" applyAlignment="1" applyProtection="1">
      <alignment horizontal="left" vertical="top"/>
      <protection locked="0"/>
    </xf>
    <xf numFmtId="0" fontId="8" fillId="5" borderId="16" xfId="1" applyFill="1" applyBorder="1" applyAlignment="1">
      <alignment horizontal="center" vertical="center"/>
    </xf>
    <xf numFmtId="0" fontId="4" fillId="8" borderId="6" xfId="0" applyFont="1" applyFill="1" applyBorder="1" applyAlignment="1">
      <alignment horizontal="left"/>
    </xf>
    <xf numFmtId="0" fontId="30" fillId="2" borderId="27" xfId="0" applyFont="1" applyFill="1" applyBorder="1" applyAlignment="1">
      <alignment horizontal="center" vertical="center" wrapText="1"/>
    </xf>
    <xf numFmtId="0" fontId="10" fillId="5" borderId="13" xfId="1" applyFont="1" applyFill="1" applyBorder="1" applyAlignment="1">
      <alignment horizontal="center" vertical="center"/>
    </xf>
    <xf numFmtId="0" fontId="10" fillId="5" borderId="29" xfId="1" applyFont="1" applyFill="1" applyBorder="1" applyAlignment="1">
      <alignment horizontal="center" vertical="center"/>
    </xf>
    <xf numFmtId="0" fontId="0" fillId="3" borderId="15" xfId="0" applyNumberFormat="1" applyFont="1" applyFill="1" applyBorder="1" applyAlignment="1" applyProtection="1">
      <alignment horizontal="left" vertical="top" wrapText="1"/>
      <protection locked="0"/>
    </xf>
    <xf numFmtId="2" fontId="0" fillId="8" borderId="0" xfId="0" applyNumberFormat="1" applyFill="1" applyBorder="1" applyAlignment="1">
      <alignment horizontal="center" vertical="center"/>
    </xf>
    <xf numFmtId="10" fontId="0" fillId="8" borderId="0" xfId="0" applyNumberFormat="1" applyFill="1" applyBorder="1" applyAlignment="1">
      <alignment horizontal="left" vertical="top" wrapText="1"/>
    </xf>
    <xf numFmtId="0" fontId="0" fillId="8" borderId="0" xfId="0" applyNumberFormat="1" applyFont="1" applyFill="1" applyBorder="1" applyAlignment="1" applyProtection="1">
      <alignment horizontal="left" vertical="top" wrapText="1"/>
      <protection locked="0"/>
    </xf>
    <xf numFmtId="0" fontId="10" fillId="8" borderId="0" xfId="1" applyFont="1" applyFill="1" applyBorder="1" applyAlignment="1">
      <alignment horizontal="center" vertical="center"/>
    </xf>
    <xf numFmtId="0" fontId="7" fillId="8" borderId="0" xfId="0" applyFont="1" applyFill="1" applyBorder="1" applyAlignment="1">
      <alignment horizontal="left"/>
    </xf>
    <xf numFmtId="0" fontId="0" fillId="8" borderId="0" xfId="0" applyFill="1" applyBorder="1" applyAlignment="1">
      <alignment wrapText="1"/>
    </xf>
    <xf numFmtId="164" fontId="0" fillId="8" borderId="0" xfId="0" applyNumberFormat="1" applyFill="1" applyBorder="1" applyAlignment="1">
      <alignment horizontal="center" vertical="center"/>
    </xf>
    <xf numFmtId="0" fontId="0" fillId="8" borderId="0" xfId="0" applyNumberFormat="1" applyFill="1"/>
    <xf numFmtId="0" fontId="5" fillId="8" borderId="0" xfId="0" applyFont="1" applyFill="1"/>
    <xf numFmtId="1" fontId="0" fillId="8" borderId="0" xfId="0" applyNumberFormat="1" applyFill="1"/>
    <xf numFmtId="0" fontId="0" fillId="8" borderId="0" xfId="0" applyFill="1" applyBorder="1" applyAlignment="1">
      <alignment horizontal="right"/>
    </xf>
    <xf numFmtId="0" fontId="10" fillId="8" borderId="0" xfId="0" applyFont="1" applyFill="1" applyBorder="1" applyAlignment="1">
      <alignment wrapText="1"/>
    </xf>
    <xf numFmtId="0" fontId="5" fillId="3" borderId="34" xfId="0" applyFont="1" applyFill="1" applyBorder="1" applyAlignment="1">
      <alignment vertical="center"/>
    </xf>
    <xf numFmtId="0" fontId="1" fillId="4" borderId="12" xfId="0" applyFont="1" applyFill="1" applyBorder="1" applyAlignment="1"/>
    <xf numFmtId="0" fontId="1" fillId="4" borderId="23" xfId="0" applyFont="1" applyFill="1" applyBorder="1" applyAlignment="1"/>
    <xf numFmtId="0" fontId="14" fillId="8" borderId="0" xfId="0" applyFont="1" applyFill="1"/>
    <xf numFmtId="0" fontId="0" fillId="0" borderId="1" xfId="0" applyBorder="1"/>
    <xf numFmtId="0" fontId="6" fillId="3" borderId="5" xfId="0" applyNumberFormat="1" applyFont="1" applyFill="1" applyBorder="1" applyAlignment="1">
      <alignment horizontal="center"/>
    </xf>
    <xf numFmtId="0" fontId="6" fillId="3" borderId="15" xfId="0" applyNumberFormat="1" applyFont="1" applyFill="1" applyBorder="1" applyAlignment="1">
      <alignment horizontal="center"/>
    </xf>
    <xf numFmtId="0" fontId="10" fillId="7" borderId="1" xfId="0" applyFont="1" applyFill="1" applyBorder="1" applyAlignment="1">
      <alignment horizontal="left" vertical="top" wrapText="1"/>
    </xf>
    <xf numFmtId="0" fontId="9" fillId="8" borderId="0" xfId="0" applyFont="1" applyFill="1"/>
    <xf numFmtId="0" fontId="0" fillId="8" borderId="0" xfId="0" applyFill="1" applyAlignment="1">
      <alignment vertical="top"/>
    </xf>
    <xf numFmtId="0" fontId="8" fillId="8" borderId="0" xfId="1" applyFill="1" applyBorder="1"/>
    <xf numFmtId="43" fontId="5" fillId="8" borderId="0" xfId="0" applyNumberFormat="1" applyFont="1" applyFill="1"/>
    <xf numFmtId="0" fontId="5" fillId="3" borderId="12" xfId="0" applyFont="1" applyFill="1" applyBorder="1" applyAlignment="1">
      <alignment horizontal="left"/>
    </xf>
    <xf numFmtId="0" fontId="6" fillId="3" borderId="12" xfId="0" applyFont="1" applyFill="1" applyBorder="1" applyAlignment="1">
      <alignment horizontal="right"/>
    </xf>
    <xf numFmtId="0" fontId="6" fillId="3" borderId="12" xfId="0" applyNumberFormat="1" applyFont="1" applyFill="1" applyBorder="1" applyAlignment="1">
      <alignment horizontal="right"/>
    </xf>
    <xf numFmtId="0" fontId="6" fillId="3" borderId="34" xfId="0" applyFont="1" applyFill="1" applyBorder="1" applyAlignment="1">
      <alignment horizontal="right"/>
    </xf>
    <xf numFmtId="0" fontId="6" fillId="3" borderId="14" xfId="0" applyFont="1" applyFill="1" applyBorder="1" applyAlignment="1">
      <alignment horizontal="right"/>
    </xf>
    <xf numFmtId="0" fontId="21" fillId="3" borderId="12" xfId="0" applyFont="1" applyFill="1" applyBorder="1" applyAlignment="1">
      <alignment horizontal="center"/>
    </xf>
    <xf numFmtId="0" fontId="1" fillId="2" borderId="12" xfId="0" applyFont="1" applyFill="1" applyBorder="1" applyAlignment="1">
      <alignment horizontal="center" vertical="center" wrapText="1"/>
    </xf>
    <xf numFmtId="0" fontId="1" fillId="2" borderId="35" xfId="0" applyFont="1" applyFill="1" applyBorder="1" applyAlignment="1">
      <alignment horizontal="center" vertical="center" wrapText="1"/>
    </xf>
    <xf numFmtId="0" fontId="1" fillId="2" borderId="32" xfId="0" applyFont="1" applyFill="1" applyBorder="1" applyAlignment="1">
      <alignment horizontal="center" vertical="center" wrapText="1"/>
    </xf>
    <xf numFmtId="0" fontId="1" fillId="2" borderId="33"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32" xfId="0" applyFont="1" applyFill="1" applyBorder="1" applyAlignment="1">
      <alignment horizontal="center" vertical="center" wrapText="1"/>
    </xf>
    <xf numFmtId="0" fontId="1" fillId="2" borderId="33"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35"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32" xfId="0" applyFont="1" applyFill="1" applyBorder="1" applyAlignment="1">
      <alignment horizontal="center" vertical="center" wrapText="1"/>
    </xf>
    <xf numFmtId="0" fontId="1" fillId="2" borderId="33" xfId="0" applyFont="1" applyFill="1" applyBorder="1" applyAlignment="1">
      <alignment horizontal="center" vertical="center" wrapText="1"/>
    </xf>
    <xf numFmtId="0" fontId="0" fillId="3" borderId="15" xfId="0" applyFont="1" applyFill="1" applyBorder="1" applyAlignment="1" applyProtection="1">
      <alignment horizontal="left" vertical="top" wrapText="1"/>
      <protection locked="0"/>
    </xf>
    <xf numFmtId="0" fontId="10" fillId="5" borderId="13" xfId="1" applyFont="1" applyFill="1" applyBorder="1" applyAlignment="1">
      <alignment horizontal="center" vertical="center" wrapText="1"/>
    </xf>
    <xf numFmtId="0" fontId="0" fillId="3" borderId="15" xfId="0" applyNumberFormat="1" applyFill="1" applyBorder="1" applyAlignment="1" applyProtection="1">
      <alignment horizontal="left" vertical="top" wrapText="1"/>
      <protection locked="0"/>
    </xf>
    <xf numFmtId="0" fontId="1" fillId="2" borderId="12" xfId="0" applyFont="1" applyFill="1" applyBorder="1" applyAlignment="1">
      <alignment horizontal="center" vertical="center" wrapText="1"/>
    </xf>
    <xf numFmtId="0" fontId="1" fillId="2" borderId="32" xfId="0" applyFont="1" applyFill="1" applyBorder="1" applyAlignment="1">
      <alignment horizontal="center" vertical="center" wrapText="1"/>
    </xf>
    <xf numFmtId="0" fontId="1" fillId="2" borderId="33" xfId="0" applyFont="1" applyFill="1" applyBorder="1" applyAlignment="1">
      <alignment horizontal="center" vertical="center" wrapText="1"/>
    </xf>
    <xf numFmtId="0" fontId="0" fillId="3" borderId="9" xfId="0" applyFill="1" applyBorder="1" applyAlignment="1" applyProtection="1">
      <alignment horizontal="left" vertical="top" wrapText="1"/>
      <protection locked="0"/>
    </xf>
    <xf numFmtId="0" fontId="0" fillId="5" borderId="43" xfId="0" applyFill="1" applyBorder="1" applyAlignment="1">
      <alignment horizontal="center" vertical="center"/>
    </xf>
    <xf numFmtId="0" fontId="10" fillId="5" borderId="16" xfId="1" applyFont="1" applyFill="1" applyBorder="1" applyAlignment="1">
      <alignment horizontal="center" vertical="center"/>
    </xf>
    <xf numFmtId="0" fontId="10" fillId="5" borderId="42" xfId="1" applyFont="1" applyFill="1" applyBorder="1" applyAlignment="1">
      <alignment horizontal="center" vertical="center" wrapText="1"/>
    </xf>
    <xf numFmtId="0" fontId="0" fillId="5" borderId="1" xfId="0" applyFill="1" applyBorder="1" applyAlignment="1" applyProtection="1">
      <alignment horizontal="center" vertical="center"/>
      <protection hidden="1"/>
    </xf>
    <xf numFmtId="0" fontId="0" fillId="5" borderId="15" xfId="0" applyFill="1" applyBorder="1" applyAlignment="1" applyProtection="1">
      <alignment horizontal="center" vertical="center"/>
      <protection hidden="1"/>
    </xf>
    <xf numFmtId="0" fontId="10" fillId="5" borderId="1" xfId="0" applyFont="1" applyFill="1" applyBorder="1" applyAlignment="1" applyProtection="1">
      <alignment horizontal="center" vertical="center" wrapText="1"/>
      <protection hidden="1"/>
    </xf>
    <xf numFmtId="0" fontId="0" fillId="5" borderId="1" xfId="0" applyNumberFormat="1" applyFill="1" applyBorder="1" applyAlignment="1" applyProtection="1">
      <alignment horizontal="center" vertical="center"/>
      <protection hidden="1"/>
    </xf>
    <xf numFmtId="0" fontId="21" fillId="10" borderId="29" xfId="0" applyFont="1" applyFill="1" applyBorder="1" applyAlignment="1" applyProtection="1">
      <alignment horizontal="center"/>
      <protection hidden="1"/>
    </xf>
    <xf numFmtId="0" fontId="30" fillId="2" borderId="28" xfId="0" applyFont="1" applyFill="1" applyBorder="1" applyAlignment="1" applyProtection="1">
      <alignment horizontal="center" vertical="center"/>
      <protection hidden="1"/>
    </xf>
    <xf numFmtId="164" fontId="0" fillId="5" borderId="1" xfId="0" applyNumberFormat="1" applyFill="1" applyBorder="1" applyAlignment="1" applyProtection="1">
      <alignment horizontal="center" vertical="center"/>
      <protection hidden="1"/>
    </xf>
    <xf numFmtId="1" fontId="0" fillId="5" borderId="1" xfId="0" applyNumberFormat="1" applyFill="1" applyBorder="1" applyAlignment="1" applyProtection="1">
      <alignment horizontal="center" vertical="center"/>
      <protection hidden="1"/>
    </xf>
    <xf numFmtId="0" fontId="0" fillId="5" borderId="15" xfId="0" applyNumberFormat="1" applyFill="1" applyBorder="1" applyAlignment="1" applyProtection="1">
      <alignment horizontal="center" vertical="center"/>
      <protection hidden="1"/>
    </xf>
    <xf numFmtId="10" fontId="0" fillId="5" borderId="1" xfId="0" applyNumberFormat="1" applyFill="1" applyBorder="1" applyAlignment="1" applyProtection="1">
      <alignment horizontal="left" vertical="top" wrapText="1"/>
      <protection hidden="1"/>
    </xf>
    <xf numFmtId="165" fontId="0" fillId="5" borderId="1" xfId="0" applyNumberFormat="1" applyFill="1" applyBorder="1" applyAlignment="1" applyProtection="1">
      <alignment horizontal="left" vertical="top" wrapText="1"/>
      <protection hidden="1"/>
    </xf>
    <xf numFmtId="10" fontId="0" fillId="5" borderId="15" xfId="0" applyNumberFormat="1" applyFill="1" applyBorder="1" applyAlignment="1" applyProtection="1">
      <alignment horizontal="left" vertical="top" wrapText="1"/>
      <protection hidden="1"/>
    </xf>
    <xf numFmtId="0" fontId="6" fillId="3" borderId="1" xfId="2" applyNumberFormat="1" applyFont="1" applyFill="1" applyBorder="1" applyAlignment="1" applyProtection="1">
      <alignment horizontal="center"/>
      <protection hidden="1"/>
    </xf>
    <xf numFmtId="0" fontId="1" fillId="4" borderId="1" xfId="0" applyNumberFormat="1" applyFont="1" applyFill="1" applyBorder="1" applyAlignment="1" applyProtection="1">
      <alignment horizontal="left"/>
      <protection hidden="1"/>
    </xf>
    <xf numFmtId="1" fontId="1" fillId="4" borderId="11" xfId="0" applyNumberFormat="1" applyFont="1" applyFill="1" applyBorder="1" applyAlignment="1" applyProtection="1">
      <alignment horizontal="left"/>
      <protection hidden="1"/>
    </xf>
    <xf numFmtId="0" fontId="5" fillId="2" borderId="0" xfId="0" applyFont="1" applyFill="1" applyBorder="1" applyAlignment="1" applyProtection="1">
      <alignment vertical="center"/>
      <protection hidden="1"/>
    </xf>
    <xf numFmtId="0" fontId="15" fillId="3" borderId="1" xfId="0" applyNumberFormat="1" applyFont="1" applyFill="1" applyBorder="1" applyAlignment="1" applyProtection="1">
      <alignment horizontal="left"/>
      <protection hidden="1"/>
    </xf>
    <xf numFmtId="0" fontId="5" fillId="2" borderId="0" xfId="0" applyNumberFormat="1" applyFont="1" applyFill="1" applyBorder="1" applyAlignment="1" applyProtection="1">
      <alignment vertical="center"/>
      <protection hidden="1"/>
    </xf>
    <xf numFmtId="0" fontId="1" fillId="4" borderId="11" xfId="0" applyNumberFormat="1" applyFont="1" applyFill="1" applyBorder="1" applyAlignment="1" applyProtection="1">
      <alignment horizontal="left"/>
      <protection hidden="1"/>
    </xf>
    <xf numFmtId="0" fontId="0" fillId="7" borderId="1" xfId="0" applyFill="1" applyBorder="1" applyAlignment="1" applyProtection="1">
      <alignment vertical="top" wrapText="1"/>
      <protection hidden="1"/>
    </xf>
    <xf numFmtId="0" fontId="1" fillId="2" borderId="19" xfId="0" applyFont="1" applyFill="1" applyBorder="1" applyAlignment="1">
      <alignment horizontal="center" vertical="center" wrapText="1"/>
    </xf>
    <xf numFmtId="0" fontId="8" fillId="3" borderId="14" xfId="1" applyFill="1" applyBorder="1"/>
    <xf numFmtId="0" fontId="8" fillId="3" borderId="15" xfId="1" applyFill="1" applyBorder="1"/>
    <xf numFmtId="0" fontId="8" fillId="3" borderId="16" xfId="1" applyFill="1" applyBorder="1"/>
    <xf numFmtId="164" fontId="0" fillId="5" borderId="21" xfId="0" applyNumberFormat="1" applyFill="1" applyBorder="1" applyAlignment="1" applyProtection="1">
      <alignment horizontal="center"/>
      <protection hidden="1"/>
    </xf>
    <xf numFmtId="167" fontId="0" fillId="3" borderId="11" xfId="2" applyNumberFormat="1" applyFont="1" applyFill="1" applyBorder="1" applyAlignment="1" applyProtection="1">
      <alignment vertical="top"/>
      <protection locked="0"/>
    </xf>
    <xf numFmtId="168" fontId="0" fillId="3" borderId="11" xfId="0" applyNumberFormat="1" applyFill="1" applyBorder="1" applyAlignment="1" applyProtection="1">
      <alignment vertical="top"/>
      <protection locked="0"/>
    </xf>
    <xf numFmtId="167" fontId="0" fillId="3" borderId="1" xfId="2" applyNumberFormat="1" applyFont="1" applyFill="1" applyBorder="1" applyAlignment="1" applyProtection="1">
      <alignment vertical="top"/>
      <protection locked="0"/>
    </xf>
    <xf numFmtId="168" fontId="10" fillId="3" borderId="1" xfId="0" applyNumberFormat="1" applyFont="1" applyFill="1" applyBorder="1" applyAlignment="1" applyProtection="1">
      <alignment horizontal="right" wrapText="1"/>
      <protection locked="0"/>
    </xf>
    <xf numFmtId="168" fontId="0" fillId="3" borderId="11" xfId="18" applyNumberFormat="1" applyFont="1" applyFill="1" applyBorder="1" applyAlignment="1" applyProtection="1">
      <alignment vertical="top"/>
      <protection locked="0"/>
    </xf>
    <xf numFmtId="41" fontId="0" fillId="3" borderId="1" xfId="2" applyNumberFormat="1" applyFont="1" applyFill="1" applyBorder="1" applyAlignment="1" applyProtection="1">
      <alignment vertical="top"/>
      <protection locked="0"/>
    </xf>
    <xf numFmtId="41" fontId="0" fillId="3" borderId="41" xfId="2" applyNumberFormat="1" applyFont="1" applyFill="1" applyBorder="1" applyAlignment="1" applyProtection="1">
      <alignment vertical="top"/>
      <protection locked="0"/>
    </xf>
    <xf numFmtId="3" fontId="0" fillId="3" borderId="18" xfId="0" applyNumberFormat="1" applyFill="1" applyBorder="1" applyProtection="1">
      <protection locked="0"/>
    </xf>
    <xf numFmtId="3" fontId="0" fillId="3" borderId="7" xfId="0" applyNumberFormat="1" applyFill="1" applyBorder="1" applyProtection="1">
      <protection locked="0"/>
    </xf>
    <xf numFmtId="3" fontId="0" fillId="3" borderId="30" xfId="0" applyNumberFormat="1" applyFill="1" applyBorder="1" applyProtection="1">
      <protection locked="0"/>
    </xf>
    <xf numFmtId="0" fontId="0" fillId="8" borderId="44" xfId="0" applyFill="1" applyBorder="1"/>
    <xf numFmtId="0" fontId="2" fillId="4" borderId="41" xfId="0" applyFont="1" applyFill="1" applyBorder="1" applyAlignment="1">
      <alignment horizontal="center" vertical="top" wrapText="1"/>
    </xf>
    <xf numFmtId="0" fontId="2" fillId="4" borderId="40" xfId="0" applyFont="1" applyFill="1" applyBorder="1" applyAlignment="1">
      <alignment horizontal="center" vertical="top" wrapText="1"/>
    </xf>
    <xf numFmtId="0" fontId="2" fillId="4" borderId="40" xfId="0" applyFont="1" applyFill="1" applyBorder="1" applyAlignment="1">
      <alignment horizontal="center" vertical="top"/>
    </xf>
    <xf numFmtId="0" fontId="5" fillId="5" borderId="31" xfId="0" applyFont="1" applyFill="1" applyBorder="1"/>
    <xf numFmtId="0" fontId="0" fillId="0" borderId="37" xfId="0" applyBorder="1"/>
    <xf numFmtId="0" fontId="1" fillId="2" borderId="12"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0" fillId="7" borderId="5" xfId="0" applyFont="1" applyFill="1" applyBorder="1" applyAlignment="1">
      <alignment horizontal="left" vertical="top" wrapText="1"/>
    </xf>
    <xf numFmtId="0" fontId="0" fillId="3" borderId="5" xfId="0" applyFill="1" applyBorder="1" applyAlignment="1" applyProtection="1">
      <alignment horizontal="left" vertical="top" wrapText="1"/>
      <protection locked="0"/>
    </xf>
    <xf numFmtId="0" fontId="0" fillId="3" borderId="5" xfId="0" applyFill="1" applyBorder="1" applyAlignment="1" applyProtection="1">
      <alignment vertical="top" wrapText="1"/>
      <protection locked="0"/>
    </xf>
    <xf numFmtId="0" fontId="0" fillId="5" borderId="5" xfId="0" applyFill="1" applyBorder="1" applyAlignment="1" applyProtection="1">
      <alignment horizontal="center" vertical="center"/>
      <protection hidden="1"/>
    </xf>
    <xf numFmtId="2" fontId="0" fillId="3" borderId="5" xfId="0" applyNumberFormat="1" applyFill="1" applyBorder="1" applyAlignment="1" applyProtection="1">
      <alignment vertical="top" wrapText="1"/>
      <protection locked="0"/>
    </xf>
    <xf numFmtId="0" fontId="0" fillId="0" borderId="25" xfId="0" applyBorder="1"/>
    <xf numFmtId="0" fontId="0" fillId="8" borderId="25" xfId="0" applyFill="1" applyBorder="1"/>
    <xf numFmtId="0" fontId="1" fillId="2" borderId="34" xfId="0" applyFont="1" applyFill="1" applyBorder="1" applyAlignment="1">
      <alignment horizontal="center" vertical="center" wrapText="1"/>
    </xf>
    <xf numFmtId="0" fontId="1" fillId="2" borderId="32" xfId="0" applyFont="1" applyFill="1" applyBorder="1" applyAlignment="1">
      <alignment horizontal="center" vertical="center" wrapText="1"/>
    </xf>
    <xf numFmtId="0" fontId="1" fillId="2" borderId="33" xfId="0" applyFont="1" applyFill="1" applyBorder="1" applyAlignment="1">
      <alignment horizontal="center" vertical="center" wrapText="1"/>
    </xf>
    <xf numFmtId="0" fontId="0" fillId="7" borderId="5" xfId="0" applyFill="1" applyBorder="1" applyAlignment="1">
      <alignment vertical="top" wrapText="1"/>
    </xf>
    <xf numFmtId="0" fontId="0" fillId="5" borderId="5" xfId="0" applyNumberFormat="1" applyFill="1" applyBorder="1" applyAlignment="1" applyProtection="1">
      <alignment horizontal="center" vertical="center"/>
      <protection hidden="1"/>
    </xf>
    <xf numFmtId="0" fontId="0" fillId="8" borderId="0" xfId="0" applyFill="1" applyBorder="1" applyAlignment="1">
      <alignment horizontal="left" vertical="center" wrapText="1"/>
    </xf>
    <xf numFmtId="41" fontId="10" fillId="8" borderId="0" xfId="2" applyNumberFormat="1" applyFont="1" applyFill="1" applyBorder="1" applyAlignment="1" applyProtection="1">
      <alignment horizontal="center" wrapText="1"/>
      <protection locked="0"/>
    </xf>
    <xf numFmtId="0" fontId="8" fillId="8" borderId="0" xfId="1" applyFill="1" applyBorder="1" applyAlignment="1">
      <alignment horizontal="center" wrapText="1"/>
    </xf>
    <xf numFmtId="0" fontId="1" fillId="2" borderId="33" xfId="0" applyFont="1" applyFill="1" applyBorder="1" applyAlignment="1">
      <alignment horizontal="center" vertical="top" wrapText="1"/>
    </xf>
    <xf numFmtId="0" fontId="21" fillId="5" borderId="1" xfId="0" applyFont="1" applyFill="1" applyBorder="1" applyAlignment="1">
      <alignment horizontal="center"/>
    </xf>
    <xf numFmtId="0" fontId="10" fillId="8" borderId="0" xfId="0" applyFont="1" applyFill="1" applyBorder="1" applyAlignment="1">
      <alignment horizontal="left" vertical="center" wrapText="1"/>
    </xf>
    <xf numFmtId="0" fontId="8" fillId="8" borderId="0" xfId="1" applyFill="1" applyBorder="1" applyAlignment="1">
      <alignment horizontal="center" vertical="center" wrapText="1"/>
    </xf>
    <xf numFmtId="41" fontId="10" fillId="3" borderId="15" xfId="2" applyNumberFormat="1" applyFont="1" applyFill="1" applyBorder="1" applyAlignment="1" applyProtection="1">
      <alignment horizontal="center" wrapText="1"/>
      <protection locked="0"/>
    </xf>
    <xf numFmtId="0" fontId="0" fillId="8" borderId="26" xfId="0" applyFill="1" applyBorder="1"/>
    <xf numFmtId="0" fontId="0" fillId="8" borderId="33" xfId="0" applyFill="1" applyBorder="1"/>
    <xf numFmtId="0" fontId="0" fillId="3" borderId="40" xfId="0" applyFill="1" applyBorder="1" applyAlignment="1" applyProtection="1">
      <alignment horizontal="left" vertical="top" wrapText="1"/>
      <protection locked="0"/>
    </xf>
    <xf numFmtId="0" fontId="4" fillId="8" borderId="33" xfId="0" applyFont="1" applyFill="1" applyBorder="1" applyAlignment="1">
      <alignment horizontal="center"/>
    </xf>
    <xf numFmtId="0" fontId="10" fillId="3" borderId="5" xfId="0" applyFont="1" applyFill="1" applyBorder="1" applyAlignment="1" applyProtection="1">
      <alignment horizontal="left" vertical="top" wrapText="1"/>
      <protection locked="0"/>
    </xf>
    <xf numFmtId="0" fontId="0" fillId="5" borderId="29" xfId="0" applyFill="1" applyBorder="1" applyAlignment="1">
      <alignment horizontal="center" vertical="center" wrapText="1"/>
    </xf>
    <xf numFmtId="0" fontId="0" fillId="5" borderId="43" xfId="0" applyFill="1" applyBorder="1" applyAlignment="1">
      <alignment horizontal="center" vertical="center" wrapText="1"/>
    </xf>
    <xf numFmtId="0" fontId="1" fillId="8" borderId="33" xfId="0" applyFont="1" applyFill="1" applyBorder="1" applyAlignment="1">
      <alignment horizontal="center" vertical="center" wrapText="1"/>
    </xf>
    <xf numFmtId="0" fontId="0" fillId="8" borderId="33" xfId="0" applyFill="1" applyBorder="1" applyAlignment="1" applyProtection="1">
      <alignment horizontal="left" vertical="top" wrapText="1"/>
      <protection locked="0"/>
    </xf>
    <xf numFmtId="0" fontId="0" fillId="8" borderId="33" xfId="0" applyFill="1" applyBorder="1" applyAlignment="1" applyProtection="1">
      <alignment vertical="top" wrapText="1"/>
      <protection locked="0"/>
    </xf>
    <xf numFmtId="164" fontId="0" fillId="5" borderId="5" xfId="0" applyNumberFormat="1" applyFill="1" applyBorder="1" applyAlignment="1" applyProtection="1">
      <alignment horizontal="center" vertical="center"/>
      <protection hidden="1"/>
    </xf>
    <xf numFmtId="0" fontId="0" fillId="8" borderId="33" xfId="0" applyFill="1" applyBorder="1" applyAlignment="1">
      <alignment horizontal="center" vertical="center"/>
    </xf>
    <xf numFmtId="0" fontId="0" fillId="7" borderId="5" xfId="0" applyFill="1" applyBorder="1" applyAlignment="1" applyProtection="1">
      <alignment vertical="top" wrapText="1"/>
      <protection hidden="1"/>
    </xf>
    <xf numFmtId="0" fontId="0" fillId="8" borderId="26" xfId="0" applyFill="1" applyBorder="1" applyAlignment="1">
      <alignment wrapText="1"/>
    </xf>
    <xf numFmtId="0" fontId="0" fillId="3" borderId="46" xfId="0" applyFill="1" applyBorder="1" applyAlignment="1" applyProtection="1">
      <alignment horizontal="left" vertical="top" wrapText="1"/>
      <protection locked="0"/>
    </xf>
    <xf numFmtId="0" fontId="0" fillId="3" borderId="46" xfId="0" applyFill="1" applyBorder="1" applyAlignment="1" applyProtection="1">
      <alignment vertical="top" wrapText="1"/>
      <protection locked="0"/>
    </xf>
    <xf numFmtId="0" fontId="1" fillId="2" borderId="38" xfId="0" applyFont="1" applyFill="1" applyBorder="1" applyAlignment="1">
      <alignment horizontal="center" vertical="center" wrapText="1"/>
    </xf>
    <xf numFmtId="2" fontId="0" fillId="8" borderId="33" xfId="0" applyNumberFormat="1" applyFill="1" applyBorder="1" applyAlignment="1">
      <alignment horizontal="center" vertical="center"/>
    </xf>
    <xf numFmtId="10" fontId="0" fillId="5" borderId="5" xfId="0" applyNumberFormat="1" applyFill="1" applyBorder="1" applyAlignment="1" applyProtection="1">
      <alignment horizontal="left" vertical="top" wrapText="1"/>
      <protection hidden="1"/>
    </xf>
    <xf numFmtId="0" fontId="0" fillId="3" borderId="5" xfId="0" applyNumberFormat="1" applyFont="1" applyFill="1" applyBorder="1" applyAlignment="1" applyProtection="1">
      <alignment horizontal="left" vertical="top" wrapText="1"/>
      <protection locked="0"/>
    </xf>
    <xf numFmtId="165" fontId="0" fillId="5" borderId="5" xfId="0" applyNumberFormat="1" applyFill="1" applyBorder="1" applyAlignment="1" applyProtection="1">
      <alignment horizontal="left" vertical="top" wrapText="1"/>
      <protection hidden="1"/>
    </xf>
    <xf numFmtId="0" fontId="0" fillId="5" borderId="48" xfId="0" applyNumberFormat="1" applyFill="1" applyBorder="1" applyAlignment="1" applyProtection="1">
      <alignment horizontal="center" vertical="center"/>
      <protection hidden="1"/>
    </xf>
    <xf numFmtId="0" fontId="5" fillId="2" borderId="48" xfId="0" applyNumberFormat="1" applyFont="1" applyFill="1" applyBorder="1" applyAlignment="1" applyProtection="1">
      <alignment vertical="center"/>
      <protection hidden="1"/>
    </xf>
    <xf numFmtId="0" fontId="5" fillId="2" borderId="40" xfId="0" applyNumberFormat="1" applyFont="1" applyFill="1" applyBorder="1" applyAlignment="1" applyProtection="1">
      <alignment vertical="center"/>
      <protection hidden="1"/>
    </xf>
    <xf numFmtId="2" fontId="0" fillId="5" borderId="1" xfId="0" applyNumberFormat="1" applyFill="1" applyBorder="1" applyAlignment="1" applyProtection="1">
      <alignment horizontal="left" vertical="top" wrapText="1"/>
      <protection hidden="1"/>
    </xf>
    <xf numFmtId="0" fontId="1" fillId="2" borderId="12" xfId="0" applyFont="1" applyFill="1" applyBorder="1" applyAlignment="1">
      <alignment horizontal="center" vertical="center" wrapText="1"/>
    </xf>
    <xf numFmtId="1" fontId="0" fillId="3" borderId="11" xfId="18" applyNumberFormat="1" applyFont="1" applyFill="1" applyBorder="1" applyAlignment="1" applyProtection="1">
      <alignment vertical="top"/>
      <protection locked="0"/>
    </xf>
    <xf numFmtId="0" fontId="1" fillId="2" borderId="34"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0" fillId="3" borderId="50" xfId="0" applyFill="1" applyBorder="1" applyAlignment="1" applyProtection="1">
      <alignment horizontal="left" vertical="top" wrapText="1"/>
      <protection locked="0"/>
    </xf>
    <xf numFmtId="0" fontId="0" fillId="3" borderId="50" xfId="0" applyFill="1" applyBorder="1" applyAlignment="1" applyProtection="1">
      <alignment vertical="top" wrapText="1"/>
      <protection locked="0"/>
    </xf>
    <xf numFmtId="0" fontId="0" fillId="0" borderId="0" xfId="0" applyFont="1" applyFill="1" applyBorder="1"/>
    <xf numFmtId="0" fontId="5" fillId="0" borderId="0" xfId="0" applyFont="1" applyFill="1" applyBorder="1"/>
    <xf numFmtId="0" fontId="5" fillId="8" borderId="0" xfId="0" applyFont="1" applyFill="1" applyBorder="1"/>
    <xf numFmtId="0" fontId="1" fillId="2" borderId="19" xfId="0" applyFont="1" applyFill="1" applyBorder="1" applyAlignment="1">
      <alignment horizontal="center" vertical="center" wrapText="1"/>
    </xf>
    <xf numFmtId="0" fontId="1" fillId="2" borderId="38"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5" fillId="0" borderId="0" xfId="0" applyFont="1" applyBorder="1"/>
    <xf numFmtId="0" fontId="0" fillId="3" borderId="31" xfId="0" applyFill="1" applyBorder="1" applyAlignment="1" applyProtection="1">
      <alignment vertical="top" wrapText="1"/>
      <protection locked="0"/>
    </xf>
    <xf numFmtId="0" fontId="0" fillId="5" borderId="45" xfId="0" applyFill="1" applyBorder="1" applyAlignment="1">
      <alignment horizontal="center" vertical="center" wrapText="1"/>
    </xf>
    <xf numFmtId="0" fontId="1" fillId="11" borderId="56" xfId="0" applyFont="1" applyFill="1" applyBorder="1"/>
    <xf numFmtId="0" fontId="37" fillId="11" borderId="57" xfId="0" applyFont="1" applyFill="1" applyBorder="1"/>
    <xf numFmtId="0" fontId="37" fillId="11" borderId="58" xfId="0" applyFont="1" applyFill="1" applyBorder="1"/>
    <xf numFmtId="0" fontId="17" fillId="0" borderId="0" xfId="12"/>
    <xf numFmtId="0" fontId="17" fillId="0" borderId="0" xfId="12" applyFill="1"/>
    <xf numFmtId="0" fontId="5" fillId="0" borderId="0" xfId="12" applyFont="1" applyFill="1"/>
    <xf numFmtId="0" fontId="0" fillId="0" borderId="0" xfId="12" applyFont="1" applyFill="1"/>
    <xf numFmtId="0" fontId="0" fillId="0" borderId="0" xfId="12" applyFont="1"/>
    <xf numFmtId="0" fontId="5" fillId="0" borderId="0" xfId="12" applyFont="1"/>
    <xf numFmtId="0" fontId="0" fillId="12" borderId="54" xfId="12" applyNumberFormat="1" applyFont="1" applyFill="1" applyBorder="1" applyAlignment="1"/>
    <xf numFmtId="0" fontId="0" fillId="0" borderId="54" xfId="12" applyNumberFormat="1" applyFont="1" applyBorder="1" applyAlignment="1"/>
    <xf numFmtId="0" fontId="5" fillId="0" borderId="53" xfId="12" applyNumberFormat="1" applyFont="1" applyBorder="1" applyAlignment="1"/>
    <xf numFmtId="0" fontId="0" fillId="0" borderId="53" xfId="12" applyNumberFormat="1" applyFont="1" applyBorder="1" applyAlignment="1"/>
    <xf numFmtId="0" fontId="0" fillId="12" borderId="55" xfId="12" applyNumberFormat="1" applyFont="1" applyFill="1" applyBorder="1" applyAlignment="1"/>
    <xf numFmtId="0" fontId="0" fillId="0" borderId="55" xfId="12" applyNumberFormat="1" applyFont="1" applyBorder="1" applyAlignment="1"/>
    <xf numFmtId="0" fontId="38" fillId="8" borderId="0" xfId="4" applyFont="1" applyFill="1"/>
    <xf numFmtId="164" fontId="21" fillId="10" borderId="16" xfId="0" applyNumberFormat="1" applyFont="1" applyFill="1" applyBorder="1" applyAlignment="1" applyProtection="1">
      <alignment horizontal="center"/>
      <protection hidden="1"/>
    </xf>
    <xf numFmtId="0" fontId="0" fillId="0" borderId="54" xfId="0" applyFont="1" applyBorder="1"/>
    <xf numFmtId="0" fontId="0" fillId="7" borderId="48" xfId="0" applyFill="1" applyBorder="1" applyAlignment="1" applyProtection="1">
      <alignment vertical="top" wrapText="1"/>
      <protection hidden="1"/>
    </xf>
    <xf numFmtId="0" fontId="10" fillId="0" borderId="0" xfId="0" applyFont="1" applyFill="1" applyBorder="1"/>
    <xf numFmtId="0" fontId="7" fillId="0" borderId="0" xfId="0" applyFont="1" applyFill="1" applyBorder="1"/>
    <xf numFmtId="0" fontId="0" fillId="0" borderId="0" xfId="0" applyFont="1" applyBorder="1"/>
    <xf numFmtId="0" fontId="1" fillId="2" borderId="12" xfId="0" applyFont="1" applyFill="1" applyBorder="1" applyAlignment="1">
      <alignment horizontal="center" vertical="center" wrapText="1"/>
    </xf>
    <xf numFmtId="0" fontId="21" fillId="5" borderId="12"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21" fillId="3" borderId="12" xfId="0" applyFont="1" applyFill="1" applyBorder="1" applyAlignment="1">
      <alignment horizontal="center" vertical="center" wrapText="1"/>
    </xf>
    <xf numFmtId="0" fontId="10" fillId="3" borderId="15" xfId="0" applyFont="1" applyFill="1" applyBorder="1" applyAlignment="1" applyProtection="1">
      <alignment horizontal="left" vertical="top" wrapText="1"/>
      <protection locked="0"/>
    </xf>
    <xf numFmtId="0" fontId="1" fillId="2" borderId="34" xfId="0" applyFont="1" applyFill="1" applyBorder="1" applyAlignment="1">
      <alignment horizontal="center" vertical="center" wrapText="1"/>
    </xf>
    <xf numFmtId="0" fontId="1" fillId="2" borderId="32" xfId="0" applyFont="1" applyFill="1" applyBorder="1" applyAlignment="1">
      <alignment horizontal="center" vertical="center" wrapText="1"/>
    </xf>
    <xf numFmtId="0" fontId="1" fillId="2" borderId="33" xfId="0" applyFont="1" applyFill="1" applyBorder="1" applyAlignment="1">
      <alignment horizontal="center" vertical="center" wrapText="1"/>
    </xf>
    <xf numFmtId="0" fontId="21" fillId="5" borderId="35" xfId="0" applyFont="1" applyFill="1" applyBorder="1" applyAlignment="1">
      <alignment horizontal="center" vertical="center" wrapText="1"/>
    </xf>
    <xf numFmtId="0" fontId="0" fillId="3" borderId="40" xfId="0" applyFill="1" applyBorder="1" applyAlignment="1" applyProtection="1">
      <alignment vertical="top" wrapText="1"/>
      <protection locked="0"/>
    </xf>
    <xf numFmtId="0" fontId="0" fillId="5" borderId="59" xfId="0" applyFill="1" applyBorder="1" applyAlignment="1">
      <alignment horizontal="center" vertical="center"/>
    </xf>
    <xf numFmtId="0" fontId="0" fillId="6" borderId="0" xfId="0" applyFill="1" applyBorder="1"/>
    <xf numFmtId="0" fontId="5" fillId="6" borderId="0" xfId="0" applyFont="1" applyFill="1" applyBorder="1"/>
    <xf numFmtId="0" fontId="1" fillId="6" borderId="0" xfId="0" applyFont="1" applyFill="1" applyBorder="1" applyAlignment="1">
      <alignment horizontal="center" vertical="center" wrapText="1"/>
    </xf>
    <xf numFmtId="0" fontId="8" fillId="8" borderId="33" xfId="1" applyFill="1" applyBorder="1" applyAlignment="1">
      <alignment horizontal="center" vertical="center" wrapText="1"/>
    </xf>
    <xf numFmtId="0" fontId="0" fillId="3" borderId="1" xfId="0" applyFont="1" applyFill="1" applyBorder="1" applyAlignment="1" applyProtection="1">
      <alignment vertical="top" wrapText="1"/>
      <protection locked="0"/>
    </xf>
    <xf numFmtId="0" fontId="1" fillId="2" borderId="17" xfId="0" applyFont="1" applyFill="1" applyBorder="1" applyAlignment="1">
      <alignment horizontal="center" vertical="center" wrapText="1"/>
    </xf>
    <xf numFmtId="164" fontId="0" fillId="8" borderId="0" xfId="0" applyNumberFormat="1" applyFill="1" applyBorder="1"/>
    <xf numFmtId="9" fontId="0" fillId="8" borderId="0" xfId="3" applyFont="1" applyFill="1" applyBorder="1"/>
    <xf numFmtId="167" fontId="0" fillId="8" borderId="0" xfId="2" applyNumberFormat="1" applyFont="1" applyFill="1" applyBorder="1"/>
    <xf numFmtId="0" fontId="1" fillId="2" borderId="32" xfId="0" applyFont="1" applyFill="1" applyBorder="1" applyAlignment="1">
      <alignment horizontal="center" vertical="center" wrapText="1"/>
    </xf>
    <xf numFmtId="0" fontId="1" fillId="2" borderId="33"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0" fillId="5" borderId="1" xfId="0" applyFont="1" applyFill="1" applyBorder="1" applyAlignment="1">
      <alignment vertical="center" wrapText="1"/>
    </xf>
    <xf numFmtId="167" fontId="0" fillId="3" borderId="1" xfId="2" applyNumberFormat="1" applyFont="1" applyFill="1" applyBorder="1" applyAlignment="1" applyProtection="1">
      <alignment horizontal="left" vertical="top" wrapText="1"/>
      <protection locked="0"/>
    </xf>
    <xf numFmtId="0" fontId="0" fillId="3" borderId="1" xfId="0" applyFill="1" applyBorder="1" applyAlignment="1" applyProtection="1">
      <alignment horizontal="right" vertical="top" wrapText="1"/>
      <protection locked="0"/>
    </xf>
    <xf numFmtId="9" fontId="0" fillId="3" borderId="1" xfId="3" applyFont="1" applyFill="1" applyBorder="1" applyAlignment="1" applyProtection="1">
      <alignment horizontal="right" vertical="top" wrapText="1" indent="1"/>
      <protection locked="0"/>
    </xf>
    <xf numFmtId="10" fontId="0" fillId="3" borderId="1" xfId="3" applyNumberFormat="1" applyFont="1" applyFill="1" applyBorder="1" applyAlignment="1" applyProtection="1">
      <alignment horizontal="left" vertical="top" wrapText="1"/>
      <protection locked="0"/>
    </xf>
    <xf numFmtId="9" fontId="0" fillId="3" borderId="1" xfId="3" applyFont="1" applyFill="1" applyBorder="1" applyAlignment="1" applyProtection="1">
      <alignment vertical="top" wrapText="1"/>
      <protection locked="0"/>
    </xf>
    <xf numFmtId="0" fontId="0" fillId="14" borderId="0" xfId="0" applyFill="1" applyBorder="1"/>
    <xf numFmtId="0" fontId="0" fillId="14" borderId="0" xfId="0" applyFill="1" applyBorder="1" applyAlignment="1">
      <alignment wrapText="1"/>
    </xf>
    <xf numFmtId="164" fontId="1" fillId="4" borderId="62" xfId="0" applyNumberFormat="1" applyFont="1" applyFill="1" applyBorder="1" applyAlignment="1" applyProtection="1">
      <alignment horizontal="left"/>
      <protection hidden="1"/>
    </xf>
    <xf numFmtId="0" fontId="15" fillId="3" borderId="29" xfId="0" applyNumberFormat="1" applyFont="1" applyFill="1" applyBorder="1" applyAlignment="1" applyProtection="1">
      <alignment horizontal="left"/>
      <protection hidden="1"/>
    </xf>
    <xf numFmtId="0" fontId="6" fillId="3" borderId="29" xfId="2" applyNumberFormat="1" applyFont="1" applyFill="1" applyBorder="1" applyAlignment="1" applyProtection="1">
      <alignment horizontal="center"/>
      <protection hidden="1"/>
    </xf>
    <xf numFmtId="0" fontId="6" fillId="3" borderId="16" xfId="2" applyNumberFormat="1" applyFont="1" applyFill="1" applyBorder="1" applyAlignment="1" applyProtection="1">
      <alignment horizontal="center"/>
      <protection hidden="1"/>
    </xf>
    <xf numFmtId="0" fontId="21" fillId="10" borderId="30" xfId="0" applyFont="1" applyFill="1" applyBorder="1" applyAlignment="1" applyProtection="1">
      <alignment horizontal="center"/>
      <protection hidden="1"/>
    </xf>
    <xf numFmtId="0" fontId="21" fillId="10" borderId="16" xfId="0" applyFont="1" applyFill="1" applyBorder="1" applyAlignment="1" applyProtection="1">
      <alignment horizontal="center"/>
      <protection hidden="1"/>
    </xf>
    <xf numFmtId="0" fontId="21" fillId="10" borderId="9" xfId="0" applyFont="1" applyFill="1" applyBorder="1" applyAlignment="1" applyProtection="1">
      <alignment horizontal="center"/>
      <protection hidden="1"/>
    </xf>
    <xf numFmtId="0" fontId="21" fillId="10" borderId="13" xfId="0" applyFont="1" applyFill="1" applyBorder="1" applyAlignment="1" applyProtection="1">
      <alignment horizontal="center"/>
      <protection hidden="1"/>
    </xf>
    <xf numFmtId="0" fontId="0" fillId="12" borderId="53" xfId="12" applyNumberFormat="1" applyFont="1" applyFill="1" applyBorder="1" applyAlignment="1"/>
    <xf numFmtId="0" fontId="42" fillId="0" borderId="0" xfId="0" applyNumberFormat="1" applyFont="1" applyFill="1" applyBorder="1"/>
    <xf numFmtId="0" fontId="43" fillId="0" borderId="0" xfId="0" applyNumberFormat="1" applyFont="1" applyFill="1" applyBorder="1"/>
    <xf numFmtId="0" fontId="10" fillId="0" borderId="0" xfId="0" applyNumberFormat="1" applyFont="1" applyFill="1" applyBorder="1"/>
    <xf numFmtId="0" fontId="7" fillId="0" borderId="0" xfId="0" applyNumberFormat="1" applyFont="1" applyFill="1" applyBorder="1"/>
    <xf numFmtId="0" fontId="10" fillId="0" borderId="0" xfId="0" applyNumberFormat="1" applyFont="1" applyFill="1"/>
    <xf numFmtId="0" fontId="0" fillId="0" borderId="0" xfId="0" applyFont="1" applyFill="1"/>
    <xf numFmtId="0" fontId="7" fillId="0" borderId="0" xfId="0" applyNumberFormat="1" applyFont="1" applyFill="1"/>
    <xf numFmtId="164" fontId="0" fillId="5" borderId="21" xfId="0" applyNumberFormat="1" applyFill="1" applyBorder="1" applyAlignment="1">
      <alignment horizontal="center"/>
    </xf>
    <xf numFmtId="0" fontId="1" fillId="2" borderId="32" xfId="0" applyFont="1" applyFill="1" applyBorder="1" applyAlignment="1">
      <alignment horizontal="center" vertical="center" wrapText="1"/>
    </xf>
    <xf numFmtId="0" fontId="1" fillId="2" borderId="33" xfId="0" applyFont="1" applyFill="1" applyBorder="1" applyAlignment="1">
      <alignment horizontal="center" vertical="center" wrapText="1"/>
    </xf>
    <xf numFmtId="0" fontId="10" fillId="5" borderId="29" xfId="1" applyFont="1" applyFill="1" applyBorder="1" applyAlignment="1">
      <alignment horizontal="center" vertical="center" wrapText="1"/>
    </xf>
    <xf numFmtId="10" fontId="5" fillId="3" borderId="1" xfId="3" applyNumberFormat="1" applyFont="1" applyFill="1" applyBorder="1" applyAlignment="1" applyProtection="1">
      <alignment horizontal="left" vertical="top" wrapText="1"/>
      <protection locked="0"/>
    </xf>
    <xf numFmtId="0" fontId="1" fillId="2" borderId="32" xfId="0" applyFont="1" applyFill="1" applyBorder="1" applyAlignment="1">
      <alignment horizontal="center" vertical="center" wrapText="1"/>
    </xf>
    <xf numFmtId="0" fontId="1" fillId="2" borderId="33" xfId="0" applyFont="1" applyFill="1" applyBorder="1" applyAlignment="1">
      <alignment horizontal="center" vertical="center" wrapText="1"/>
    </xf>
    <xf numFmtId="0" fontId="1" fillId="2" borderId="12" xfId="0" applyFont="1" applyFill="1" applyBorder="1" applyAlignment="1">
      <alignment horizontal="center" vertical="center" wrapText="1"/>
    </xf>
    <xf numFmtId="10" fontId="0" fillId="8" borderId="0" xfId="3" applyNumberFormat="1" applyFont="1" applyFill="1" applyBorder="1"/>
    <xf numFmtId="0" fontId="36" fillId="3" borderId="1" xfId="0" applyFont="1" applyFill="1" applyBorder="1" applyAlignment="1" applyProtection="1">
      <alignment horizontal="left" vertical="top" wrapText="1"/>
      <protection locked="0"/>
    </xf>
    <xf numFmtId="0" fontId="0" fillId="8" borderId="0" xfId="0" applyFont="1" applyFill="1"/>
    <xf numFmtId="0" fontId="44" fillId="8" borderId="63" xfId="0" applyFont="1" applyFill="1" applyBorder="1" applyAlignment="1">
      <alignment vertical="center"/>
    </xf>
    <xf numFmtId="0" fontId="44" fillId="8" borderId="64" xfId="0" applyFont="1" applyFill="1" applyBorder="1" applyAlignment="1">
      <alignment vertical="center"/>
    </xf>
    <xf numFmtId="0" fontId="16" fillId="8" borderId="64" xfId="0" applyFont="1" applyFill="1" applyBorder="1" applyAlignment="1">
      <alignment vertical="center"/>
    </xf>
    <xf numFmtId="0" fontId="16" fillId="8" borderId="63" xfId="0" applyFont="1" applyFill="1" applyBorder="1" applyAlignment="1">
      <alignment vertical="center"/>
    </xf>
    <xf numFmtId="0" fontId="44" fillId="8" borderId="63" xfId="0" applyFont="1" applyFill="1" applyBorder="1" applyAlignment="1">
      <alignment horizontal="right" vertical="center"/>
    </xf>
    <xf numFmtId="0" fontId="44" fillId="8" borderId="64" xfId="0" applyFont="1" applyFill="1" applyBorder="1" applyAlignment="1">
      <alignment horizontal="right" vertical="center"/>
    </xf>
    <xf numFmtId="0" fontId="44" fillId="8" borderId="65" xfId="0" applyFont="1" applyFill="1" applyBorder="1" applyAlignment="1">
      <alignment vertical="center"/>
    </xf>
    <xf numFmtId="10" fontId="0" fillId="5" borderId="1" xfId="3" applyNumberFormat="1" applyFont="1" applyFill="1" applyBorder="1" applyAlignment="1" applyProtection="1">
      <alignment horizontal="right" vertical="top" wrapText="1"/>
      <protection hidden="1"/>
    </xf>
    <xf numFmtId="10" fontId="10" fillId="5" borderId="1" xfId="3" applyNumberFormat="1" applyFont="1" applyFill="1" applyBorder="1" applyAlignment="1" applyProtection="1">
      <alignment horizontal="right" vertical="top" wrapText="1"/>
      <protection hidden="1"/>
    </xf>
    <xf numFmtId="0" fontId="0" fillId="7" borderId="0" xfId="0" applyFill="1" applyBorder="1" applyAlignment="1" applyProtection="1">
      <alignment vertical="top" wrapText="1"/>
      <protection hidden="1"/>
    </xf>
    <xf numFmtId="0" fontId="0" fillId="7" borderId="1" xfId="0" applyFont="1" applyFill="1" applyBorder="1" applyAlignment="1" applyProtection="1">
      <alignment vertical="top" wrapText="1"/>
      <protection hidden="1"/>
    </xf>
    <xf numFmtId="0" fontId="0" fillId="7" borderId="11" xfId="0" applyFill="1" applyBorder="1" applyAlignment="1" applyProtection="1">
      <alignment vertical="top" wrapText="1"/>
      <protection hidden="1"/>
    </xf>
    <xf numFmtId="0" fontId="1" fillId="8" borderId="0" xfId="0" applyFont="1" applyFill="1" applyBorder="1" applyAlignment="1" applyProtection="1">
      <alignment horizontal="center" vertical="center" wrapText="1"/>
      <protection hidden="1"/>
    </xf>
    <xf numFmtId="0" fontId="4" fillId="8" borderId="0" xfId="0" applyFont="1" applyFill="1" applyBorder="1" applyAlignment="1" applyProtection="1">
      <alignment horizontal="center"/>
      <protection hidden="1"/>
    </xf>
    <xf numFmtId="0" fontId="1" fillId="2" borderId="33" xfId="0" applyFont="1" applyFill="1" applyBorder="1" applyAlignment="1" applyProtection="1">
      <alignment horizontal="center" vertical="center" wrapText="1"/>
      <protection hidden="1"/>
    </xf>
    <xf numFmtId="0" fontId="0" fillId="7" borderId="1" xfId="0" applyFill="1" applyBorder="1" applyAlignment="1" applyProtection="1">
      <alignment horizontal="left" vertical="top" wrapText="1"/>
      <protection hidden="1"/>
    </xf>
    <xf numFmtId="0" fontId="0" fillId="7" borderId="15" xfId="0" applyFill="1" applyBorder="1" applyAlignment="1" applyProtection="1">
      <alignment vertical="top" wrapText="1"/>
      <protection hidden="1"/>
    </xf>
    <xf numFmtId="0" fontId="7" fillId="8" borderId="33" xfId="0" applyFont="1" applyFill="1" applyBorder="1" applyAlignment="1" applyProtection="1">
      <alignment horizontal="center"/>
      <protection hidden="1"/>
    </xf>
    <xf numFmtId="0" fontId="0" fillId="8" borderId="33" xfId="0" applyFill="1" applyBorder="1" applyAlignment="1" applyProtection="1">
      <alignment vertical="top" wrapText="1"/>
      <protection hidden="1"/>
    </xf>
    <xf numFmtId="0" fontId="0" fillId="8" borderId="0" xfId="0" applyFill="1" applyBorder="1" applyAlignment="1" applyProtection="1">
      <alignment vertical="top" wrapText="1"/>
      <protection hidden="1"/>
    </xf>
    <xf numFmtId="0" fontId="0" fillId="8" borderId="33" xfId="0" applyFont="1" applyFill="1" applyBorder="1" applyAlignment="1" applyProtection="1">
      <alignment vertical="top" wrapText="1"/>
      <protection hidden="1"/>
    </xf>
    <xf numFmtId="0" fontId="0" fillId="7" borderId="15" xfId="0" applyFont="1" applyFill="1" applyBorder="1" applyAlignment="1" applyProtection="1">
      <alignment vertical="top" wrapText="1"/>
      <protection hidden="1"/>
    </xf>
    <xf numFmtId="0" fontId="0" fillId="8" borderId="0" xfId="0" applyFill="1" applyBorder="1" applyProtection="1">
      <protection hidden="1"/>
    </xf>
    <xf numFmtId="0" fontId="0" fillId="7" borderId="40" xfId="0" applyFill="1" applyBorder="1" applyAlignment="1" applyProtection="1">
      <alignment vertical="top" wrapText="1"/>
      <protection hidden="1"/>
    </xf>
    <xf numFmtId="0" fontId="0" fillId="5" borderId="40" xfId="0" applyFill="1" applyBorder="1" applyAlignment="1" applyProtection="1">
      <alignment horizontal="center" vertical="center"/>
      <protection hidden="1"/>
    </xf>
    <xf numFmtId="0" fontId="5" fillId="3" borderId="34" xfId="0" applyFont="1" applyFill="1" applyBorder="1" applyAlignment="1" applyProtection="1">
      <alignment vertical="center"/>
      <protection hidden="1"/>
    </xf>
    <xf numFmtId="0" fontId="5" fillId="3" borderId="5" xfId="0" applyFont="1" applyFill="1" applyBorder="1" applyAlignment="1" applyProtection="1">
      <alignment vertical="center"/>
      <protection hidden="1"/>
    </xf>
    <xf numFmtId="0" fontId="5" fillId="3" borderId="5" xfId="0" applyFont="1" applyFill="1" applyBorder="1" applyAlignment="1" applyProtection="1">
      <alignment horizontal="center" vertical="center" wrapText="1"/>
      <protection hidden="1"/>
    </xf>
    <xf numFmtId="0" fontId="5" fillId="3" borderId="13" xfId="0" applyFont="1" applyFill="1" applyBorder="1" applyAlignment="1" applyProtection="1">
      <alignment horizontal="center" vertical="center" wrapText="1"/>
      <protection hidden="1"/>
    </xf>
    <xf numFmtId="0" fontId="1" fillId="4" borderId="12" xfId="0" applyFont="1" applyFill="1" applyBorder="1" applyAlignment="1" applyProtection="1">
      <protection hidden="1"/>
    </xf>
    <xf numFmtId="0" fontId="5" fillId="3" borderId="12" xfId="0" applyFont="1" applyFill="1" applyBorder="1" applyAlignment="1" applyProtection="1">
      <alignment horizontal="left"/>
      <protection hidden="1"/>
    </xf>
    <xf numFmtId="0" fontId="6" fillId="3" borderId="12" xfId="0" applyFont="1" applyFill="1" applyBorder="1" applyAlignment="1" applyProtection="1">
      <alignment horizontal="right"/>
      <protection hidden="1"/>
    </xf>
    <xf numFmtId="0" fontId="6" fillId="3" borderId="1" xfId="0" applyNumberFormat="1" applyFont="1" applyFill="1" applyBorder="1" applyAlignment="1" applyProtection="1">
      <alignment horizontal="center"/>
      <protection hidden="1"/>
    </xf>
    <xf numFmtId="0" fontId="1" fillId="4" borderId="23" xfId="0" applyFont="1" applyFill="1" applyBorder="1" applyAlignment="1" applyProtection="1">
      <protection hidden="1"/>
    </xf>
    <xf numFmtId="0" fontId="1" fillId="4" borderId="10" xfId="0" applyNumberFormat="1" applyFont="1" applyFill="1" applyBorder="1" applyAlignment="1" applyProtection="1">
      <alignment horizontal="left"/>
      <protection hidden="1"/>
    </xf>
    <xf numFmtId="0" fontId="5" fillId="3" borderId="1" xfId="0" applyNumberFormat="1" applyFont="1" applyFill="1" applyBorder="1" applyAlignment="1" applyProtection="1">
      <alignment horizontal="left"/>
      <protection hidden="1"/>
    </xf>
    <xf numFmtId="0" fontId="6" fillId="3" borderId="12" xfId="0" applyNumberFormat="1" applyFont="1" applyFill="1" applyBorder="1" applyAlignment="1" applyProtection="1">
      <alignment horizontal="right"/>
      <protection hidden="1"/>
    </xf>
    <xf numFmtId="0" fontId="15" fillId="3" borderId="1" xfId="0" applyNumberFormat="1" applyFont="1" applyFill="1" applyBorder="1" applyAlignment="1" applyProtection="1">
      <alignment horizontal="left" vertical="top"/>
      <protection hidden="1"/>
    </xf>
    <xf numFmtId="0" fontId="6" fillId="3" borderId="34" xfId="0" applyFont="1" applyFill="1" applyBorder="1" applyAlignment="1" applyProtection="1">
      <alignment horizontal="right"/>
      <protection hidden="1"/>
    </xf>
    <xf numFmtId="0" fontId="6" fillId="3" borderId="5" xfId="0" applyNumberFormat="1" applyFont="1" applyFill="1" applyBorder="1" applyAlignment="1" applyProtection="1">
      <alignment horizontal="center"/>
      <protection hidden="1"/>
    </xf>
    <xf numFmtId="0" fontId="6" fillId="3" borderId="29" xfId="0" applyNumberFormat="1" applyFont="1" applyFill="1" applyBorder="1" applyAlignment="1" applyProtection="1">
      <alignment horizontal="center"/>
      <protection hidden="1"/>
    </xf>
    <xf numFmtId="0" fontId="6" fillId="3" borderId="14" xfId="0" applyFont="1" applyFill="1" applyBorder="1" applyAlignment="1" applyProtection="1">
      <alignment horizontal="right"/>
      <protection hidden="1"/>
    </xf>
    <xf numFmtId="0" fontId="6" fillId="3" borderId="15" xfId="0" applyNumberFormat="1" applyFont="1" applyFill="1" applyBorder="1" applyAlignment="1" applyProtection="1">
      <alignment horizontal="center"/>
      <protection hidden="1"/>
    </xf>
    <xf numFmtId="164" fontId="0" fillId="5" borderId="15" xfId="0" applyNumberFormat="1" applyFill="1" applyBorder="1" applyAlignment="1" applyProtection="1">
      <alignment horizontal="center" vertical="center"/>
      <protection hidden="1"/>
    </xf>
    <xf numFmtId="167" fontId="5" fillId="10" borderId="0" xfId="2" applyNumberFormat="1" applyFont="1" applyFill="1" applyBorder="1"/>
    <xf numFmtId="0" fontId="0" fillId="10" borderId="0" xfId="0" applyFill="1" applyBorder="1"/>
    <xf numFmtId="0" fontId="5" fillId="5" borderId="66" xfId="0" applyFont="1" applyFill="1" applyBorder="1" applyProtection="1">
      <protection locked="0"/>
    </xf>
    <xf numFmtId="0" fontId="13" fillId="8" borderId="0" xfId="0" applyFont="1" applyFill="1" applyBorder="1" applyAlignment="1">
      <alignment horizontal="center" vertical="center"/>
    </xf>
    <xf numFmtId="0" fontId="27" fillId="2" borderId="19" xfId="0" applyFont="1" applyFill="1" applyBorder="1" applyAlignment="1">
      <alignment horizontal="center"/>
    </xf>
    <xf numFmtId="0" fontId="27" fillId="2" borderId="20" xfId="0" applyFont="1" applyFill="1" applyBorder="1" applyAlignment="1">
      <alignment horizontal="center"/>
    </xf>
    <xf numFmtId="0" fontId="32" fillId="9" borderId="20" xfId="17" applyBorder="1" applyAlignment="1">
      <alignment horizontal="center"/>
    </xf>
    <xf numFmtId="0" fontId="27" fillId="2" borderId="21" xfId="0" applyFont="1" applyFill="1" applyBorder="1" applyAlignment="1">
      <alignment horizontal="center"/>
    </xf>
    <xf numFmtId="0" fontId="1" fillId="2" borderId="34" xfId="0" applyFont="1" applyFill="1" applyBorder="1" applyAlignment="1">
      <alignment horizontal="center" vertical="center" wrapText="1"/>
    </xf>
    <xf numFmtId="0" fontId="1" fillId="2" borderId="35"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32" xfId="0" applyFont="1" applyFill="1" applyBorder="1" applyAlignment="1">
      <alignment horizontal="center" vertical="center" wrapText="1"/>
    </xf>
    <xf numFmtId="0" fontId="1" fillId="2" borderId="33"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0" fillId="5" borderId="19" xfId="0" applyFont="1" applyFill="1" applyBorder="1" applyAlignment="1">
      <alignment horizontal="left" vertical="center" wrapText="1"/>
    </xf>
    <xf numFmtId="0" fontId="10" fillId="5" borderId="21" xfId="0" applyFont="1" applyFill="1" applyBorder="1" applyAlignment="1">
      <alignment horizontal="left" vertical="center" wrapText="1"/>
    </xf>
    <xf numFmtId="0" fontId="1" fillId="2" borderId="39" xfId="0" applyFont="1" applyFill="1" applyBorder="1" applyAlignment="1">
      <alignment horizontal="center" vertical="center" wrapText="1"/>
    </xf>
    <xf numFmtId="0" fontId="1" fillId="2" borderId="36" xfId="0" applyFont="1" applyFill="1" applyBorder="1" applyAlignment="1">
      <alignment horizontal="center" vertical="center" wrapText="1"/>
    </xf>
    <xf numFmtId="0" fontId="27" fillId="2" borderId="0" xfId="0" applyFont="1" applyFill="1" applyBorder="1" applyAlignment="1">
      <alignment horizontal="center"/>
    </xf>
    <xf numFmtId="0" fontId="1" fillId="2" borderId="60" xfId="0" applyFont="1" applyFill="1" applyBorder="1" applyAlignment="1">
      <alignment horizontal="center" vertical="center" wrapText="1"/>
    </xf>
    <xf numFmtId="0" fontId="1" fillId="2" borderId="61" xfId="0" applyFont="1" applyFill="1" applyBorder="1" applyAlignment="1">
      <alignment horizontal="center" vertical="center" wrapText="1"/>
    </xf>
    <xf numFmtId="0" fontId="1" fillId="2" borderId="38"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0" fillId="5" borderId="32" xfId="0" applyFont="1" applyFill="1" applyBorder="1" applyAlignment="1">
      <alignment horizontal="left" vertical="center" wrapText="1"/>
    </xf>
    <xf numFmtId="0" fontId="10" fillId="5" borderId="47" xfId="0" applyFont="1" applyFill="1" applyBorder="1" applyAlignment="1">
      <alignment horizontal="left" vertical="center" wrapText="1"/>
    </xf>
    <xf numFmtId="0" fontId="10" fillId="5" borderId="23" xfId="0" applyFont="1" applyFill="1" applyBorder="1" applyAlignment="1">
      <alignment horizontal="left" vertical="center" wrapText="1"/>
    </xf>
    <xf numFmtId="0" fontId="10" fillId="5" borderId="11" xfId="0" applyFont="1" applyFill="1" applyBorder="1" applyAlignment="1">
      <alignment horizontal="left" vertical="center" wrapText="1"/>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0" fillId="5" borderId="24" xfId="0" applyFont="1" applyFill="1" applyBorder="1" applyAlignment="1">
      <alignment horizontal="left" vertical="center" wrapText="1"/>
    </xf>
    <xf numFmtId="0" fontId="10" fillId="5" borderId="22" xfId="0" applyFont="1" applyFill="1" applyBorder="1" applyAlignment="1">
      <alignment horizontal="left" vertical="center" wrapText="1"/>
    </xf>
    <xf numFmtId="0" fontId="1" fillId="2" borderId="25"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3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51" xfId="0" applyFont="1" applyFill="1" applyBorder="1" applyAlignment="1">
      <alignment horizontal="center" vertical="center" wrapText="1"/>
    </xf>
    <xf numFmtId="0" fontId="1" fillId="2" borderId="52" xfId="0" applyFont="1" applyFill="1" applyBorder="1" applyAlignment="1">
      <alignment horizontal="center" vertical="center" wrapText="1"/>
    </xf>
    <xf numFmtId="0" fontId="10" fillId="5" borderId="12" xfId="0" applyFont="1" applyFill="1" applyBorder="1" applyAlignment="1">
      <alignment horizontal="left" vertical="center" wrapText="1"/>
    </xf>
    <xf numFmtId="0" fontId="10" fillId="5" borderId="1" xfId="0" applyFont="1" applyFill="1" applyBorder="1" applyAlignment="1">
      <alignment horizontal="left" vertical="center" wrapText="1"/>
    </xf>
    <xf numFmtId="0" fontId="0" fillId="13" borderId="12" xfId="0" applyFill="1" applyBorder="1" applyAlignment="1">
      <alignment horizontal="left" vertical="top" wrapText="1"/>
    </xf>
    <xf numFmtId="0" fontId="0" fillId="13" borderId="1" xfId="0" applyFill="1" applyBorder="1" applyAlignment="1">
      <alignment horizontal="left" vertical="top" wrapText="1"/>
    </xf>
    <xf numFmtId="0" fontId="0" fillId="5" borderId="12" xfId="0" applyFill="1" applyBorder="1" applyAlignment="1">
      <alignment horizontal="left" vertical="top" wrapText="1"/>
    </xf>
    <xf numFmtId="0" fontId="0" fillId="5" borderId="1" xfId="0" applyFill="1" applyBorder="1" applyAlignment="1">
      <alignment horizontal="left" vertical="top"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5" borderId="35" xfId="0" applyFill="1" applyBorder="1" applyAlignment="1">
      <alignment horizontal="left" vertical="top" wrapText="1"/>
    </xf>
    <xf numFmtId="0" fontId="0" fillId="5" borderId="40" xfId="0" applyFill="1" applyBorder="1" applyAlignment="1">
      <alignment horizontal="left" vertical="top" wrapText="1"/>
    </xf>
    <xf numFmtId="0" fontId="10" fillId="13" borderId="12" xfId="0" applyFont="1" applyFill="1" applyBorder="1" applyAlignment="1">
      <alignment horizontal="left" vertical="center" wrapText="1"/>
    </xf>
    <xf numFmtId="0" fontId="10" fillId="13" borderId="1" xfId="0" applyFont="1" applyFill="1" applyBorder="1" applyAlignment="1">
      <alignment horizontal="left" vertical="center" wrapText="1"/>
    </xf>
    <xf numFmtId="0" fontId="10" fillId="13" borderId="24" xfId="0" applyFont="1" applyFill="1" applyBorder="1" applyAlignment="1">
      <alignment horizontal="left" vertical="center" wrapText="1"/>
    </xf>
    <xf numFmtId="0" fontId="10" fillId="13" borderId="22" xfId="0" applyFont="1" applyFill="1" applyBorder="1" applyAlignment="1">
      <alignment horizontal="left" vertical="center" wrapText="1"/>
    </xf>
    <xf numFmtId="0" fontId="31" fillId="4" borderId="0" xfId="0" applyFont="1" applyFill="1" applyAlignment="1">
      <alignment horizontal="center"/>
    </xf>
    <xf numFmtId="0" fontId="1" fillId="2" borderId="3" xfId="0" applyFont="1" applyFill="1" applyBorder="1" applyAlignment="1" applyProtection="1">
      <alignment horizontal="center" vertical="center" wrapText="1"/>
      <protection hidden="1"/>
    </xf>
    <xf numFmtId="0" fontId="1" fillId="2" borderId="4" xfId="0" applyFont="1" applyFill="1" applyBorder="1" applyAlignment="1" applyProtection="1">
      <alignment horizontal="center" vertical="center" wrapText="1"/>
      <protection hidden="1"/>
    </xf>
    <xf numFmtId="0" fontId="1" fillId="2" borderId="49" xfId="0" applyFont="1" applyFill="1" applyBorder="1" applyAlignment="1" applyProtection="1">
      <alignment horizontal="center" vertical="center" wrapText="1"/>
      <protection hidden="1"/>
    </xf>
    <xf numFmtId="0" fontId="1" fillId="2" borderId="49" xfId="0" applyFont="1" applyFill="1" applyBorder="1" applyAlignment="1">
      <alignment horizontal="center" vertical="center" wrapText="1"/>
    </xf>
    <xf numFmtId="0" fontId="5" fillId="0" borderId="0" xfId="0" applyFont="1" applyAlignment="1">
      <alignment horizontal="center"/>
    </xf>
  </cellXfs>
  <cellStyles count="19">
    <cellStyle name="Bad" xfId="17" builtinId="27"/>
    <cellStyle name="Comma" xfId="2" builtinId="3"/>
    <cellStyle name="Comma 2" xfId="5"/>
    <cellStyle name="Currency" xfId="18" builtinId="4"/>
    <cellStyle name="Currency 2" xfId="6"/>
    <cellStyle name="Hyperlink" xfId="1" builtinId="8"/>
    <cellStyle name="Hyperlink 2" xfId="8"/>
    <cellStyle name="Hyperlink 3" xfId="7"/>
    <cellStyle name="Normal" xfId="0" builtinId="0"/>
    <cellStyle name="Normal 2" xfId="4"/>
    <cellStyle name="Normal 3" xfId="9"/>
    <cellStyle name="Normal 4" xfId="10"/>
    <cellStyle name="Normal 5" xfId="11"/>
    <cellStyle name="Normal 6" xfId="12"/>
    <cellStyle name="Normal 7" xfId="13"/>
    <cellStyle name="Normal 8" xfId="14"/>
    <cellStyle name="Percent" xfId="3" builtinId="5"/>
    <cellStyle name="Percent 2" xfId="16"/>
    <cellStyle name="Percent 3" xfId="15"/>
  </cellStyles>
  <dxfs count="32">
    <dxf>
      <font>
        <strike val="0"/>
        <outline val="0"/>
        <shadow val="0"/>
        <u val="none"/>
        <vertAlign val="baseline"/>
        <sz val="11"/>
        <color auto="1"/>
        <name val="Calibri"/>
        <scheme val="minor"/>
      </font>
      <fill>
        <patternFill patternType="solid">
          <fgColor indexed="64"/>
          <bgColor theme="0"/>
        </patternFill>
      </fill>
    </dxf>
    <dxf>
      <font>
        <strike val="0"/>
        <outline val="0"/>
        <shadow val="0"/>
        <u val="none"/>
        <vertAlign val="baseline"/>
        <sz val="11"/>
        <color auto="1"/>
        <name val="Calibri"/>
        <scheme val="minor"/>
      </font>
      <fill>
        <patternFill patternType="none">
          <fgColor indexed="64"/>
          <bgColor indexed="65"/>
        </patternFill>
      </fill>
    </dxf>
    <dxf>
      <font>
        <strike val="0"/>
        <outline val="0"/>
        <shadow val="0"/>
        <u val="none"/>
        <vertAlign val="baseline"/>
        <sz val="11"/>
        <color auto="1"/>
        <name val="Calibri"/>
        <scheme val="minor"/>
      </font>
      <fill>
        <patternFill patternType="none">
          <fgColor indexed="64"/>
          <bgColor indexed="65"/>
        </patternFill>
      </fill>
    </dxf>
    <dxf>
      <font>
        <strike val="0"/>
        <outline val="0"/>
        <shadow val="0"/>
        <u val="none"/>
        <vertAlign val="baseline"/>
        <sz val="11"/>
        <color auto="1"/>
        <name val="Calibri"/>
        <scheme val="minor"/>
      </font>
      <fill>
        <patternFill patternType="none">
          <fgColor indexed="64"/>
          <bgColor indexed="65"/>
        </patternFill>
      </fill>
    </dxf>
    <dxf>
      <font>
        <strike val="0"/>
        <outline val="0"/>
        <shadow val="0"/>
        <u val="none"/>
        <vertAlign val="baseline"/>
        <sz val="11"/>
        <color auto="1"/>
        <name val="Calibri"/>
        <scheme val="minor"/>
      </font>
      <fill>
        <patternFill patternType="none">
          <fgColor indexed="64"/>
          <bgColor indexed="65"/>
        </patternFill>
      </fill>
    </dxf>
    <dxf>
      <font>
        <strike val="0"/>
        <outline val="0"/>
        <shadow val="0"/>
        <u val="none"/>
        <vertAlign val="baseline"/>
        <sz val="11"/>
        <color auto="1"/>
        <name val="Calibri"/>
        <scheme val="minor"/>
      </font>
      <fill>
        <patternFill patternType="none">
          <fgColor indexed="64"/>
          <bgColor indexed="65"/>
        </patternFill>
      </fill>
    </dxf>
    <dxf>
      <font>
        <strike val="0"/>
        <outline val="0"/>
        <shadow val="0"/>
        <u val="none"/>
        <vertAlign val="baseline"/>
        <sz val="11"/>
        <color auto="1"/>
        <name val="Calibri"/>
        <scheme val="minor"/>
      </font>
      <fill>
        <patternFill patternType="solid">
          <fgColor indexed="64"/>
          <bgColor theme="0"/>
        </patternFill>
      </fill>
    </dxf>
    <dxf>
      <font>
        <strike val="0"/>
        <outline val="0"/>
        <shadow val="0"/>
        <u val="none"/>
        <vertAlign val="baseline"/>
        <sz val="11"/>
        <color auto="1"/>
        <name val="Calibri"/>
        <scheme val="minor"/>
      </font>
      <fill>
        <patternFill patternType="solid">
          <fgColor indexed="64"/>
          <bgColor theme="0"/>
        </patternFill>
      </fill>
    </dxf>
    <dxf>
      <font>
        <color theme="4" tint="0.79998168889431442"/>
      </font>
    </dxf>
    <dxf>
      <font>
        <strike val="0"/>
        <outline val="0"/>
        <shadow val="0"/>
        <u val="none"/>
        <vertAlign val="baseline"/>
        <sz val="11"/>
        <color auto="1"/>
        <name val="Calibri"/>
        <scheme val="minor"/>
      </font>
      <fill>
        <patternFill patternType="solid">
          <fgColor indexed="64"/>
          <bgColor theme="0"/>
        </patternFill>
      </fill>
    </dxf>
    <dxf>
      <font>
        <strike val="0"/>
        <outline val="0"/>
        <shadow val="0"/>
        <u val="none"/>
        <vertAlign val="baseline"/>
        <sz val="11"/>
        <color auto="1"/>
        <name val="Calibri"/>
        <scheme val="minor"/>
      </font>
      <numFmt numFmtId="0" formatCode="General"/>
      <fill>
        <patternFill patternType="none">
          <fgColor indexed="64"/>
          <bgColor indexed="65"/>
        </patternFill>
      </fill>
    </dxf>
    <dxf>
      <font>
        <strike val="0"/>
        <outline val="0"/>
        <shadow val="0"/>
        <u val="none"/>
        <vertAlign val="baseline"/>
        <sz val="11"/>
        <color auto="1"/>
        <name val="Calibri"/>
        <scheme val="minor"/>
      </font>
      <fill>
        <patternFill patternType="solid">
          <fgColor indexed="64"/>
          <bgColor theme="0"/>
        </patternFill>
      </fill>
    </dxf>
    <dxf>
      <font>
        <strike val="0"/>
        <outline val="0"/>
        <shadow val="0"/>
        <u val="none"/>
        <vertAlign val="baseline"/>
        <sz val="11"/>
        <color auto="1"/>
        <name val="Calibri"/>
        <scheme val="minor"/>
      </font>
      <numFmt numFmtId="0" formatCode="General"/>
      <fill>
        <patternFill patternType="none">
          <fgColor indexed="64"/>
          <bgColor indexed="65"/>
        </patternFill>
      </fill>
    </dxf>
    <dxf>
      <font>
        <strike val="0"/>
        <outline val="0"/>
        <shadow val="0"/>
        <u val="none"/>
        <vertAlign val="baseline"/>
        <sz val="11"/>
        <color auto="1"/>
        <name val="Calibri"/>
        <scheme val="minor"/>
      </font>
      <fill>
        <patternFill patternType="solid">
          <fgColor indexed="64"/>
          <bgColor theme="0"/>
        </patternFill>
      </fill>
    </dxf>
    <dxf>
      <font>
        <strike val="0"/>
        <outline val="0"/>
        <shadow val="0"/>
        <u val="none"/>
        <vertAlign val="baseline"/>
        <sz val="11"/>
        <color auto="1"/>
        <name val="Calibri"/>
        <scheme val="minor"/>
      </font>
      <numFmt numFmtId="0" formatCode="General"/>
      <fill>
        <patternFill patternType="none">
          <fgColor indexed="64"/>
          <bgColor indexed="65"/>
        </patternFill>
      </fill>
    </dxf>
    <dxf>
      <font>
        <strike val="0"/>
        <outline val="0"/>
        <shadow val="0"/>
        <u val="none"/>
        <vertAlign val="baseline"/>
        <sz val="11"/>
        <color auto="1"/>
        <name val="Calibri"/>
        <scheme val="minor"/>
      </font>
      <fill>
        <patternFill patternType="solid">
          <fgColor indexed="64"/>
          <bgColor theme="0"/>
        </patternFill>
      </fill>
    </dxf>
    <dxf>
      <font>
        <strike val="0"/>
        <outline val="0"/>
        <shadow val="0"/>
        <u val="none"/>
        <vertAlign val="baseline"/>
        <sz val="11"/>
        <color auto="1"/>
        <name val="Calibri"/>
        <scheme val="minor"/>
      </font>
      <numFmt numFmtId="0" formatCode="General"/>
      <fill>
        <patternFill patternType="none">
          <fgColor indexed="64"/>
          <bgColor indexed="65"/>
        </patternFill>
      </fill>
    </dxf>
    <dxf>
      <fill>
        <patternFill patternType="solid">
          <fgColor indexed="64"/>
          <bgColor theme="0"/>
        </patternFill>
      </fill>
    </dxf>
    <dxf>
      <font>
        <strike val="0"/>
        <outline val="0"/>
        <shadow val="0"/>
        <u val="none"/>
        <vertAlign val="baseline"/>
        <sz val="11"/>
        <color auto="1"/>
        <name val="Calibri"/>
        <scheme val="minor"/>
      </font>
      <numFmt numFmtId="0" formatCode="General"/>
      <fill>
        <patternFill patternType="none">
          <fgColor indexed="64"/>
          <bgColor indexed="65"/>
        </patternFill>
      </fill>
    </dxf>
    <dxf>
      <fill>
        <patternFill patternType="solid">
          <fgColor indexed="64"/>
          <bgColor theme="0"/>
        </patternFill>
      </fill>
    </dxf>
    <dxf>
      <font>
        <strike val="0"/>
        <outline val="0"/>
        <shadow val="0"/>
        <u val="none"/>
        <vertAlign val="baseline"/>
        <sz val="11"/>
        <color auto="1"/>
        <name val="Calibri"/>
        <scheme val="minor"/>
      </font>
      <numFmt numFmtId="0" formatCode="General"/>
      <fill>
        <patternFill patternType="none">
          <fgColor indexed="64"/>
          <bgColor indexed="65"/>
        </patternFill>
      </fill>
    </dxf>
    <dxf>
      <fill>
        <patternFill patternType="solid">
          <fgColor indexed="64"/>
          <bgColor theme="0"/>
        </patternFill>
      </fill>
    </dxf>
    <dxf>
      <font>
        <strike val="0"/>
        <outline val="0"/>
        <shadow val="0"/>
        <u val="none"/>
        <vertAlign val="baseline"/>
        <sz val="11"/>
        <color auto="1"/>
        <name val="Calibri"/>
        <scheme val="minor"/>
      </font>
      <numFmt numFmtId="0" formatCode="General"/>
      <fill>
        <patternFill patternType="none">
          <fgColor indexed="64"/>
          <bgColor indexed="65"/>
        </patternFill>
      </fill>
    </dxf>
    <dxf>
      <fill>
        <patternFill patternType="solid">
          <fgColor indexed="64"/>
          <bgColor theme="0"/>
        </patternFill>
      </fill>
    </dxf>
    <dxf>
      <font>
        <b/>
        <strike val="0"/>
        <outline val="0"/>
        <shadow val="0"/>
        <u val="none"/>
        <vertAlign val="baseline"/>
        <sz val="11"/>
        <color auto="1"/>
        <name val="Calibri"/>
        <scheme val="minor"/>
      </font>
      <numFmt numFmtId="0" formatCode="General"/>
      <fill>
        <patternFill patternType="none">
          <fgColor indexed="64"/>
          <bgColor indexed="65"/>
        </patternFill>
      </fill>
    </dxf>
    <dxf>
      <font>
        <strike val="0"/>
        <outline val="0"/>
        <shadow val="0"/>
        <u val="none"/>
        <vertAlign val="baseline"/>
        <sz val="11"/>
        <color auto="1"/>
        <name val="Calibri"/>
        <scheme val="minor"/>
      </font>
    </dxf>
    <dxf>
      <font>
        <strike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color theme="4" tint="0.79998168889431442"/>
      </font>
    </dxf>
    <dxf>
      <border outline="0">
        <top style="thin">
          <color theme="4" tint="0.39997558519241921"/>
        </top>
      </border>
    </dxf>
    <dxf>
      <border outline="0">
        <bottom style="thin">
          <color theme="4" tint="0.39997558519241921"/>
        </bottom>
      </border>
    </dxf>
    <dxf>
      <font>
        <b/>
        <i val="0"/>
        <strike val="0"/>
        <condense val="0"/>
        <extend val="0"/>
        <outline val="0"/>
        <shadow val="0"/>
        <u val="none"/>
        <vertAlign val="baseline"/>
        <sz val="11"/>
        <color theme="0"/>
        <name val="Calibri"/>
        <scheme val="minor"/>
      </font>
      <fill>
        <patternFill patternType="solid">
          <fgColor theme="4"/>
          <bgColor theme="4"/>
        </patternFill>
      </fill>
    </dxf>
  </dxfs>
  <tableStyles count="2" defaultTableStyle="TableStyleMedium2" defaultPivotStyle="PivotStyleLight16">
    <tableStyle name="Table Style 1" pivot="0" count="0"/>
    <tableStyle name="Table Style 2" pivot="0" count="0"/>
  </tableStyles>
  <colors>
    <mruColors>
      <color rgb="FFB8CCE4"/>
      <color rgb="FF60AF01"/>
      <color rgb="FF96EA88"/>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n-US"/>
              <a:t>How does your community stack up to other communities?</a:t>
            </a:r>
          </a:p>
        </c:rich>
      </c:tx>
      <c:layout/>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US"/>
        </a:p>
      </c:txPr>
    </c:title>
    <c:autoTitleDeleted val="0"/>
    <c:plotArea>
      <c:layout/>
      <c:barChart>
        <c:barDir val="col"/>
        <c:grouping val="clustered"/>
        <c:varyColors val="0"/>
        <c:ser>
          <c:idx val="0"/>
          <c:order val="0"/>
          <c:tx>
            <c:strRef>
              <c:f>'Peer City Scores'!$K$5</c:f>
              <c:strCache>
                <c:ptCount val="1"/>
              </c:strCache>
            </c:strRef>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tx2">
                          <a:lumMod val="35000"/>
                          <a:lumOff val="65000"/>
                        </a:schemeClr>
                      </a:solidFill>
                    </a:ln>
                    <a:effectLst/>
                  </c:spPr>
                </c15:leaderLines>
              </c:ext>
            </c:extLst>
          </c:dLbls>
          <c:cat>
            <c:strRef>
              <c:f>'Peer City Scores'!$J$6:$J$11</c:f>
              <c:strCache>
                <c:ptCount val="6"/>
                <c:pt idx="0">
                  <c:v>Local government operations</c:v>
                </c:pt>
                <c:pt idx="1">
                  <c:v>Community-wide initiatives</c:v>
                </c:pt>
                <c:pt idx="2">
                  <c:v>Buildings policies</c:v>
                </c:pt>
                <c:pt idx="3">
                  <c:v>Energy and water utilities</c:v>
                </c:pt>
                <c:pt idx="4">
                  <c:v>Transportation policies</c:v>
                </c:pt>
                <c:pt idx="5">
                  <c:v>Total</c:v>
                </c:pt>
              </c:strCache>
            </c:strRef>
          </c:cat>
          <c:val>
            <c:numRef>
              <c:f>'Peer City Scores'!$K$6:$K$11</c:f>
              <c:numCache>
                <c:formatCode>General</c:formatCode>
                <c:ptCount val="6"/>
                <c:pt idx="0">
                  <c:v>0</c:v>
                </c:pt>
                <c:pt idx="1">
                  <c:v>0</c:v>
                </c:pt>
                <c:pt idx="2">
                  <c:v>0</c:v>
                </c:pt>
                <c:pt idx="3">
                  <c:v>0</c:v>
                </c:pt>
                <c:pt idx="4">
                  <c:v>0</c:v>
                </c:pt>
                <c:pt idx="5" formatCode="0">
                  <c:v>0</c:v>
                </c:pt>
              </c:numCache>
            </c:numRef>
          </c:val>
          <c:extLst>
            <c:ext xmlns:c16="http://schemas.microsoft.com/office/drawing/2014/chart" uri="{C3380CC4-5D6E-409C-BE32-E72D297353CC}">
              <c16:uniqueId val="{00000000-ED79-4F3C-BD22-158C22184DB8}"/>
            </c:ext>
          </c:extLst>
        </c:ser>
        <c:ser>
          <c:idx val="1"/>
          <c:order val="1"/>
          <c:tx>
            <c:strRef>
              <c:f>'Peer City Scores'!$L$5</c:f>
              <c:strCache>
                <c:ptCount val="1"/>
                <c:pt idx="0">
                  <c:v>City Scorecard median</c:v>
                </c:pt>
              </c:strCache>
            </c:strRef>
          </c:tx>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a:noFill/>
            </a:ln>
            <a:effectLst>
              <a:outerShdw blurRad="40000" dist="23000" dir="5400000" rotWithShape="0">
                <a:srgbClr val="000000">
                  <a:alpha val="35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tx2">
                          <a:lumMod val="35000"/>
                          <a:lumOff val="65000"/>
                        </a:schemeClr>
                      </a:solidFill>
                    </a:ln>
                    <a:effectLst/>
                  </c:spPr>
                </c15:leaderLines>
              </c:ext>
            </c:extLst>
          </c:dLbls>
          <c:cat>
            <c:strRef>
              <c:f>'Peer City Scores'!$J$6:$J$11</c:f>
              <c:strCache>
                <c:ptCount val="6"/>
                <c:pt idx="0">
                  <c:v>Local government operations</c:v>
                </c:pt>
                <c:pt idx="1">
                  <c:v>Community-wide initiatives</c:v>
                </c:pt>
                <c:pt idx="2">
                  <c:v>Buildings policies</c:v>
                </c:pt>
                <c:pt idx="3">
                  <c:v>Energy and water utilities</c:v>
                </c:pt>
                <c:pt idx="4">
                  <c:v>Transportation policies</c:v>
                </c:pt>
                <c:pt idx="5">
                  <c:v>Total</c:v>
                </c:pt>
              </c:strCache>
            </c:strRef>
          </c:cat>
          <c:val>
            <c:numRef>
              <c:f>'Peer City Scores'!$L$6:$L$11</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ED79-4F3C-BD22-158C22184DB8}"/>
            </c:ext>
          </c:extLst>
        </c:ser>
        <c:dLbls>
          <c:dLblPos val="outEnd"/>
          <c:showLegendKey val="0"/>
          <c:showVal val="1"/>
          <c:showCatName val="0"/>
          <c:showSerName val="0"/>
          <c:showPercent val="0"/>
          <c:showBubbleSize val="0"/>
        </c:dLbls>
        <c:gapWidth val="100"/>
        <c:overlap val="-24"/>
        <c:axId val="-372779456"/>
        <c:axId val="-372776736"/>
      </c:barChart>
      <c:catAx>
        <c:axId val="-372779456"/>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372776736"/>
        <c:crosses val="autoZero"/>
        <c:auto val="1"/>
        <c:lblAlgn val="ctr"/>
        <c:lblOffset val="100"/>
        <c:noMultiLvlLbl val="0"/>
      </c:catAx>
      <c:valAx>
        <c:axId val="-372776736"/>
        <c:scaling>
          <c:orientation val="minMax"/>
        </c:scaling>
        <c:delete val="0"/>
        <c:axPos val="l"/>
        <c:majorGridlines>
          <c:spPr>
            <a:ln w="9525" cap="flat" cmpd="sng" algn="ctr">
              <a:solidFill>
                <a:schemeClr val="tx2">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372779456"/>
        <c:crosses val="autoZero"/>
        <c:crossBetween val="between"/>
      </c:valAx>
      <c:spPr>
        <a:noFill/>
        <a:ln>
          <a:noFill/>
        </a:ln>
        <a:effectLst/>
      </c:spPr>
    </c:plotArea>
    <c:legend>
      <c:legendPos val="b"/>
      <c:legendEntry>
        <c:idx val="1"/>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Entry>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www.aceee.org/" TargetMode="External"/></Relationships>
</file>

<file path=xl/drawings/_rels/drawing7.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38100</xdr:colOff>
      <xdr:row>9</xdr:row>
      <xdr:rowOff>123826</xdr:rowOff>
    </xdr:from>
    <xdr:to>
      <xdr:col>8</xdr:col>
      <xdr:colOff>1114425</xdr:colOff>
      <xdr:row>20</xdr:row>
      <xdr:rowOff>166688</xdr:rowOff>
    </xdr:to>
    <xdr:sp macro="" textlink="">
      <xdr:nvSpPr>
        <xdr:cNvPr id="2" name="TextBox 1"/>
        <xdr:cNvSpPr txBox="1"/>
      </xdr:nvSpPr>
      <xdr:spPr>
        <a:xfrm>
          <a:off x="1252538" y="2052639"/>
          <a:ext cx="9255918" cy="2138362"/>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0">
              <a:solidFill>
                <a:schemeClr val="dk1"/>
              </a:solidFill>
              <a:effectLst/>
              <a:latin typeface="+mn-lt"/>
              <a:ea typeface="+mn-ea"/>
              <a:cs typeface="+mn-cs"/>
            </a:rPr>
            <a:t>The </a:t>
          </a:r>
          <a:r>
            <a:rPr lang="en-US" sz="1100" i="1">
              <a:solidFill>
                <a:schemeClr val="dk1"/>
              </a:solidFill>
              <a:effectLst/>
              <a:latin typeface="+mn-lt"/>
              <a:ea typeface="+mn-ea"/>
              <a:cs typeface="+mn-cs"/>
            </a:rPr>
            <a:t>2017 City Energy Efficiency Scorecard </a:t>
          </a:r>
          <a:r>
            <a:rPr lang="en-US" sz="1100" i="0">
              <a:solidFill>
                <a:schemeClr val="dk1"/>
              </a:solidFill>
              <a:effectLst/>
              <a:latin typeface="+mn-lt"/>
              <a:ea typeface="+mn-ea"/>
              <a:cs typeface="+mn-cs"/>
            </a:rPr>
            <a:t>rates 51 large US cities on the basis of their policies and leadership in advancing energy efficiency . More than 50 metrics in the </a:t>
          </a:r>
          <a:r>
            <a:rPr lang="en-US" sz="1100" i="1">
              <a:solidFill>
                <a:schemeClr val="dk1"/>
              </a:solidFill>
              <a:effectLst/>
              <a:latin typeface="+mn-lt"/>
              <a:ea typeface="+mn-ea"/>
              <a:cs typeface="+mn-cs"/>
            </a:rPr>
            <a:t>City Scorecard </a:t>
          </a:r>
          <a:r>
            <a:rPr lang="en-US" sz="1100" i="0">
              <a:solidFill>
                <a:schemeClr val="dk1"/>
              </a:solidFill>
              <a:effectLst/>
              <a:latin typeface="+mn-lt"/>
              <a:ea typeface="+mn-ea"/>
              <a:cs typeface="+mn-cs"/>
            </a:rPr>
            <a:t>evaluate efforts across local government operations, community initiatives, building policies, energy and water utilities, and transportation policies. The </a:t>
          </a:r>
          <a:r>
            <a:rPr lang="en-US" sz="1100" i="1">
              <a:solidFill>
                <a:schemeClr val="dk1"/>
              </a:solidFill>
              <a:effectLst/>
              <a:latin typeface="+mn-lt"/>
              <a:ea typeface="+mn-ea"/>
              <a:cs typeface="+mn-cs"/>
            </a:rPr>
            <a:t>City Scorecard </a:t>
          </a:r>
          <a:r>
            <a:rPr lang="en-US" sz="1100" i="0">
              <a:solidFill>
                <a:schemeClr val="dk1"/>
              </a:solidFill>
              <a:effectLst/>
              <a:latin typeface="+mn-lt"/>
              <a:ea typeface="+mn-ea"/>
              <a:cs typeface="+mn-cs"/>
            </a:rPr>
            <a:t>applies these metrics to large cities, but the same metrics can be valuable to other communities trying to reduce energy waste. </a:t>
          </a:r>
        </a:p>
        <a:p>
          <a:endParaRPr lang="en-US" sz="1100" i="1">
            <a:solidFill>
              <a:schemeClr val="dk1"/>
            </a:solidFill>
            <a:effectLst/>
            <a:latin typeface="+mn-lt"/>
            <a:ea typeface="+mn-ea"/>
            <a:cs typeface="+mn-cs"/>
          </a:endParaRPr>
        </a:p>
        <a:p>
          <a:r>
            <a:rPr lang="en-US" sz="1100" i="0">
              <a:solidFill>
                <a:schemeClr val="dk1"/>
              </a:solidFill>
              <a:effectLst/>
              <a:latin typeface="+mn-lt"/>
              <a:ea typeface="+mn-ea"/>
              <a:cs typeface="+mn-cs"/>
            </a:rPr>
            <a:t>With these ideas in mind, we translated the metrics of the</a:t>
          </a:r>
          <a:r>
            <a:rPr lang="en-US" sz="1100" i="1">
              <a:solidFill>
                <a:schemeClr val="dk1"/>
              </a:solidFill>
              <a:effectLst/>
              <a:latin typeface="+mn-lt"/>
              <a:ea typeface="+mn-ea"/>
              <a:cs typeface="+mn-cs"/>
            </a:rPr>
            <a:t> 2017 City Scorecard </a:t>
          </a:r>
          <a:r>
            <a:rPr lang="en-US" sz="1100" i="0">
              <a:solidFill>
                <a:schemeClr val="dk1"/>
              </a:solidFill>
              <a:effectLst/>
              <a:latin typeface="+mn-lt"/>
              <a:ea typeface="+mn-ea"/>
              <a:cs typeface="+mn-cs"/>
            </a:rPr>
            <a:t>into the Excel-based Local Energy Efficiency Self-Scoring Tool, Version 3.0. You can use the tool to benchmark your community’s current energy efficiency efforts across the same policy areas addressed in the </a:t>
          </a:r>
          <a:r>
            <a:rPr lang="en-US" sz="1100" i="1">
              <a:solidFill>
                <a:schemeClr val="dk1"/>
              </a:solidFill>
              <a:effectLst/>
              <a:latin typeface="+mn-lt"/>
              <a:ea typeface="+mn-ea"/>
              <a:cs typeface="+mn-cs"/>
            </a:rPr>
            <a:t>City Scorecard</a:t>
          </a:r>
          <a:r>
            <a:rPr lang="en-US" sz="1100" i="0">
              <a:solidFill>
                <a:schemeClr val="dk1"/>
              </a:solidFill>
              <a:effectLst/>
              <a:latin typeface="+mn-lt"/>
              <a:ea typeface="+mn-ea"/>
              <a:cs typeface="+mn-cs"/>
            </a:rPr>
            <a:t>. The Self-Scoring Tool also compares your community’s scores with the median scores from the 51 cities in the </a:t>
          </a:r>
          <a:r>
            <a:rPr lang="en-US" sz="1100" i="1">
              <a:solidFill>
                <a:schemeClr val="dk1"/>
              </a:solidFill>
              <a:effectLst/>
              <a:latin typeface="+mn-lt"/>
              <a:ea typeface="+mn-ea"/>
              <a:cs typeface="+mn-cs"/>
            </a:rPr>
            <a:t>City Scorecard</a:t>
          </a:r>
          <a:r>
            <a:rPr lang="en-US" sz="1100" i="0">
              <a:solidFill>
                <a:schemeClr val="dk1"/>
              </a:solidFill>
              <a:effectLst/>
              <a:latin typeface="+mn-lt"/>
              <a:ea typeface="+mn-ea"/>
              <a:cs typeface="+mn-cs"/>
            </a:rPr>
            <a:t>. These comparisons help put your community’s scores into better perspective. You can also measure progress over time by using the tool to reevaluate efforts as the community implements new policies. </a:t>
          </a:r>
        </a:p>
        <a:p>
          <a:endParaRPr lang="en-US" sz="1100" i="1">
            <a:solidFill>
              <a:schemeClr val="dk1"/>
            </a:solidFill>
            <a:effectLst/>
            <a:latin typeface="+mn-lt"/>
            <a:ea typeface="+mn-ea"/>
            <a:cs typeface="+mn-cs"/>
          </a:endParaRPr>
        </a:p>
        <a:p>
          <a:r>
            <a:rPr lang="en-US" sz="1100" i="0">
              <a:solidFill>
                <a:schemeClr val="dk1"/>
              </a:solidFill>
              <a:effectLst/>
              <a:latin typeface="+mn-lt"/>
              <a:ea typeface="+mn-ea"/>
              <a:cs typeface="+mn-cs"/>
            </a:rPr>
            <a:t>The tool can inform the energy policy decisions of smaller, more resource-constrained local governments and assist them in prioritizing future investments.</a:t>
          </a:r>
        </a:p>
      </xdr:txBody>
    </xdr:sp>
    <xdr:clientData/>
  </xdr:twoCellAnchor>
  <xdr:twoCellAnchor>
    <xdr:from>
      <xdr:col>2</xdr:col>
      <xdr:colOff>28575</xdr:colOff>
      <xdr:row>29</xdr:row>
      <xdr:rowOff>123822</xdr:rowOff>
    </xdr:from>
    <xdr:to>
      <xdr:col>9</xdr:col>
      <xdr:colOff>142875</xdr:colOff>
      <xdr:row>65</xdr:row>
      <xdr:rowOff>47625</xdr:rowOff>
    </xdr:to>
    <xdr:sp macro="" textlink="">
      <xdr:nvSpPr>
        <xdr:cNvPr id="3" name="TextBox 2"/>
        <xdr:cNvSpPr txBox="1"/>
      </xdr:nvSpPr>
      <xdr:spPr>
        <a:xfrm>
          <a:off x="1243013" y="5755478"/>
          <a:ext cx="9627393" cy="6781803"/>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1" u="sng">
              <a:solidFill>
                <a:schemeClr val="dk1"/>
              </a:solidFill>
              <a:effectLst/>
              <a:latin typeface="+mn-lt"/>
              <a:ea typeface="+mn-ea"/>
              <a:cs typeface="+mn-cs"/>
            </a:rPr>
            <a:t>Instructions</a:t>
          </a:r>
          <a:r>
            <a:rPr lang="en-US" sz="1100">
              <a:solidFill>
                <a:schemeClr val="dk1"/>
              </a:solidFill>
              <a:effectLst/>
              <a:latin typeface="+mn-lt"/>
              <a:ea typeface="+mn-ea"/>
              <a:cs typeface="+mn-cs"/>
            </a:rPr>
            <a:t>: Before</a:t>
          </a:r>
          <a:r>
            <a:rPr lang="en-US" sz="1100" baseline="0">
              <a:solidFill>
                <a:schemeClr val="dk1"/>
              </a:solidFill>
              <a:effectLst/>
              <a:latin typeface="+mn-lt"/>
              <a:ea typeface="+mn-ea"/>
              <a:cs typeface="+mn-cs"/>
            </a:rPr>
            <a:t> using the </a:t>
          </a:r>
          <a:r>
            <a:rPr lang="en-US" sz="1100" i="1" baseline="0">
              <a:solidFill>
                <a:schemeClr val="dk1"/>
              </a:solidFill>
              <a:effectLst/>
              <a:latin typeface="+mn-lt"/>
              <a:ea typeface="+mn-ea"/>
              <a:cs typeface="+mn-cs"/>
            </a:rPr>
            <a:t>Self-Scoring Tool</a:t>
          </a:r>
          <a:r>
            <a:rPr lang="en-US" sz="1100" baseline="0">
              <a:solidFill>
                <a:schemeClr val="dk1"/>
              </a:solidFill>
              <a:effectLst/>
              <a:latin typeface="+mn-lt"/>
              <a:ea typeface="+mn-ea"/>
              <a:cs typeface="+mn-cs"/>
            </a:rPr>
            <a:t>, we recommend you reference the </a:t>
          </a:r>
          <a:r>
            <a:rPr lang="en-US" sz="1100" i="1" baseline="0">
              <a:solidFill>
                <a:schemeClr val="dk1"/>
              </a:solidFill>
              <a:effectLst/>
              <a:latin typeface="+mn-lt"/>
              <a:ea typeface="+mn-ea"/>
              <a:cs typeface="+mn-cs"/>
            </a:rPr>
            <a:t>Local Energy Efficiency Self-Scoring Tool User Guid</a:t>
          </a:r>
          <a:r>
            <a:rPr lang="en-US" sz="1100" b="0" i="1" baseline="0">
              <a:solidFill>
                <a:schemeClr val="dk1"/>
              </a:solidFill>
              <a:effectLst/>
              <a:latin typeface="+mn-lt"/>
              <a:ea typeface="+mn-ea"/>
              <a:cs typeface="+mn-cs"/>
            </a:rPr>
            <a:t>e </a:t>
          </a:r>
          <a:r>
            <a:rPr lang="en-US" sz="1100" b="0" baseline="0">
              <a:solidFill>
                <a:schemeClr val="dk1"/>
              </a:solidFill>
              <a:effectLst/>
              <a:latin typeface="+mn-lt"/>
              <a:ea typeface="+mn-ea"/>
              <a:cs typeface="+mn-cs"/>
            </a:rPr>
            <a:t>available at </a:t>
          </a:r>
          <a:r>
            <a:rPr lang="en-US" sz="1100" b="0" baseline="0">
              <a:solidFill>
                <a:sysClr val="windowText" lastClr="000000"/>
              </a:solidFill>
              <a:effectLst/>
              <a:latin typeface="+mn-lt"/>
              <a:ea typeface="+mn-ea"/>
              <a:cs typeface="+mn-cs"/>
            </a:rPr>
            <a:t>aceee.org/research-report/u1709. </a:t>
          </a:r>
          <a:endParaRPr lang="en-US" sz="1100" b="1" baseline="0">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effectLst/>
            <a:latin typeface="+mn-lt"/>
            <a:ea typeface="+mn-ea"/>
            <a:cs typeface="+mn-cs"/>
          </a:endParaRPr>
        </a:p>
        <a:p>
          <a:r>
            <a:rPr lang="en-US" sz="1100">
              <a:solidFill>
                <a:schemeClr val="dk1"/>
              </a:solidFill>
              <a:effectLst/>
              <a:latin typeface="+mn-lt"/>
              <a:ea typeface="+mn-ea"/>
              <a:cs typeface="+mn-cs"/>
            </a:rPr>
            <a:t>The following instructions are a concise guide you can reference while using the </a:t>
          </a:r>
          <a:r>
            <a:rPr lang="en-US" sz="1100" i="1">
              <a:solidFill>
                <a:schemeClr val="dk1"/>
              </a:solidFill>
              <a:effectLst/>
              <a:latin typeface="+mn-lt"/>
              <a:ea typeface="+mn-ea"/>
              <a:cs typeface="+mn-cs"/>
            </a:rPr>
            <a:t>Self-Scoring Tool</a:t>
          </a:r>
          <a:r>
            <a:rPr lang="en-US" sz="1100">
              <a:solidFill>
                <a:schemeClr val="dk1"/>
              </a:solidFill>
              <a:effectLst/>
              <a:latin typeface="+mn-lt"/>
              <a:ea typeface="+mn-ea"/>
              <a:cs typeface="+mn-cs"/>
            </a:rPr>
            <a:t>. </a:t>
          </a:r>
        </a:p>
        <a:p>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Step 1.</a:t>
          </a:r>
          <a:r>
            <a:rPr lang="en-US" sz="1100">
              <a:solidFill>
                <a:schemeClr val="dk1"/>
              </a:solidFill>
              <a:effectLst/>
              <a:latin typeface="+mn-lt"/>
              <a:ea typeface="+mn-ea"/>
              <a:cs typeface="+mn-cs"/>
            </a:rPr>
            <a:t> Read the information on the Introduction worksheet and enter the community information requested.</a:t>
          </a:r>
        </a:p>
        <a:p>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Step 2.</a:t>
          </a:r>
          <a:r>
            <a:rPr lang="en-US" sz="1100">
              <a:solidFill>
                <a:schemeClr val="dk1"/>
              </a:solidFill>
              <a:effectLst/>
              <a:latin typeface="+mn-lt"/>
              <a:ea typeface="+mn-ea"/>
              <a:cs typeface="+mn-cs"/>
            </a:rPr>
            <a:t> Proceed to a policy area worksheet (such as local government operations) and glance over the metrics and questions in Columns A and B. You can find comments regarding many of the questions in Column B by moving the cursor over a cell.</a:t>
          </a:r>
        </a:p>
        <a:p>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Step 3. </a:t>
          </a:r>
          <a:r>
            <a:rPr lang="en-US" sz="1100" b="0">
              <a:solidFill>
                <a:schemeClr val="dk1"/>
              </a:solidFill>
              <a:effectLst/>
              <a:latin typeface="+mn-lt"/>
              <a:ea typeface="+mn-ea"/>
              <a:cs typeface="+mn-cs"/>
            </a:rPr>
            <a:t>Return to the top of the worksheet and provide preliminary information. If you do not, scoring errors will occur.</a:t>
          </a:r>
        </a:p>
        <a:p>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Step 4. </a:t>
          </a:r>
          <a:r>
            <a:rPr lang="en-US" sz="1100">
              <a:solidFill>
                <a:schemeClr val="dk1"/>
              </a:solidFill>
              <a:effectLst/>
              <a:latin typeface="+mn-lt"/>
              <a:ea typeface="+mn-ea"/>
              <a:cs typeface="+mn-cs"/>
            </a:rPr>
            <a:t>After you provide the preliminary information, respond to the first question posed in Column B by answering it in your own words in the answer column, Column C. It is important to complete this column fully by recording the pertinent policy or program names, local government ordinances, or other information. These data will allow us to verify that you scored your community correctly.</a:t>
          </a:r>
        </a:p>
        <a:p>
          <a:endParaRPr lang="en-US" sz="1100">
            <a:solidFill>
              <a:schemeClr val="dk1"/>
            </a:solidFill>
            <a:effectLst/>
            <a:latin typeface="+mn-lt"/>
            <a:ea typeface="+mn-ea"/>
            <a:cs typeface="+mn-cs"/>
          </a:endParaRPr>
        </a:p>
        <a:p>
          <a:pPr lvl="0"/>
          <a:r>
            <a:rPr lang="en-US" sz="1100">
              <a:solidFill>
                <a:schemeClr val="dk1"/>
              </a:solidFill>
              <a:effectLst/>
              <a:latin typeface="+mn-lt"/>
              <a:ea typeface="+mn-ea"/>
              <a:cs typeface="+mn-cs"/>
            </a:rPr>
            <a:t>- We recommend that you review the scoring criteria found on the drop-down menus in Column D before answering questions to understand how the questions relate to the methodology.</a:t>
          </a:r>
        </a:p>
        <a:p>
          <a:pPr lvl="0"/>
          <a:endParaRPr lang="en-US" sz="1100">
            <a:solidFill>
              <a:schemeClr val="dk1"/>
            </a:solidFill>
            <a:effectLst/>
            <a:latin typeface="+mn-lt"/>
            <a:ea typeface="+mn-ea"/>
            <a:cs typeface="+mn-cs"/>
          </a:endParaRPr>
        </a:p>
        <a:p>
          <a:pPr lvl="0"/>
          <a:r>
            <a:rPr lang="en-US" sz="1100">
              <a:solidFill>
                <a:schemeClr val="dk1"/>
              </a:solidFill>
              <a:effectLst/>
              <a:latin typeface="+mn-lt"/>
              <a:ea typeface="+mn-ea"/>
              <a:cs typeface="+mn-cs"/>
            </a:rPr>
            <a:t>- If you do not have the data to answer a question, see Column F for a recommended data source.</a:t>
          </a:r>
        </a:p>
        <a:p>
          <a:pPr lvl="0"/>
          <a:endParaRPr lang="en-US" sz="1100">
            <a:solidFill>
              <a:schemeClr val="dk1"/>
            </a:solidFill>
            <a:effectLst/>
            <a:latin typeface="+mn-lt"/>
            <a:ea typeface="+mn-ea"/>
            <a:cs typeface="+mn-cs"/>
          </a:endParaRPr>
        </a:p>
        <a:p>
          <a:pPr lvl="0"/>
          <a:r>
            <a:rPr lang="en-US" sz="1100">
              <a:solidFill>
                <a:schemeClr val="dk1"/>
              </a:solidFill>
              <a:effectLst/>
              <a:latin typeface="+mn-lt"/>
              <a:ea typeface="+mn-ea"/>
              <a:cs typeface="+mn-cs"/>
            </a:rPr>
            <a:t>- Cells in Column C that are </a:t>
          </a:r>
          <a:r>
            <a:rPr lang="en-US" sz="1100" b="1">
              <a:solidFill>
                <a:schemeClr val="dk1"/>
              </a:solidFill>
              <a:effectLst/>
              <a:latin typeface="+mn-lt"/>
              <a:ea typeface="+mn-ea"/>
              <a:cs typeface="+mn-cs"/>
            </a:rPr>
            <a:t>medium-blue </a:t>
          </a:r>
          <a:r>
            <a:rPr lang="en-US" sz="1100">
              <a:solidFill>
                <a:schemeClr val="dk1"/>
              </a:solidFill>
              <a:effectLst/>
              <a:latin typeface="+mn-lt"/>
              <a:ea typeface="+mn-ea"/>
              <a:cs typeface="+mn-cs"/>
            </a:rPr>
            <a:t>are locked. In these cases, the cell values will be automatically filled in from information you previously provided.</a:t>
          </a:r>
        </a:p>
        <a:p>
          <a:pPr lvl="0"/>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Step 5. </a:t>
          </a:r>
          <a:r>
            <a:rPr lang="en-US" sz="1100" b="0">
              <a:solidFill>
                <a:schemeClr val="dk1"/>
              </a:solidFill>
              <a:effectLst/>
              <a:latin typeface="+mn-lt"/>
              <a:ea typeface="+mn-ea"/>
              <a:cs typeface="+mn-cs"/>
            </a:rPr>
            <a:t>After answering a question in Column C, select a scoring criterion from the drop-down menu in Column D that best fits your answer in Column C. Once you select the scoring criterion, Column E will display the score.</a:t>
          </a:r>
        </a:p>
        <a:p>
          <a:pPr lvl="0"/>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Step 6.</a:t>
          </a:r>
          <a:r>
            <a:rPr lang="en-US" sz="1100">
              <a:solidFill>
                <a:schemeClr val="dk1"/>
              </a:solidFill>
              <a:effectLst/>
              <a:latin typeface="+mn-lt"/>
              <a:ea typeface="+mn-ea"/>
              <a:cs typeface="+mn-cs"/>
            </a:rPr>
            <a:t> After working through the questions in one policy area worksheet, go to the next worksheet and complete it in the same way as outlined in steps 3 through 6. Repeat this until you have completed all policy area worksheets.</a:t>
          </a:r>
        </a:p>
        <a:p>
          <a:endParaRPr lang="en-US" sz="1100">
            <a:solidFill>
              <a:schemeClr val="dk1"/>
            </a:solidFill>
            <a:effectLst/>
            <a:latin typeface="+mn-lt"/>
            <a:ea typeface="+mn-ea"/>
            <a:cs typeface="+mn-cs"/>
          </a:endParaRPr>
        </a:p>
        <a:p>
          <a:pPr lvl="0"/>
          <a:r>
            <a:rPr lang="en-US" sz="1100">
              <a:solidFill>
                <a:schemeClr val="dk1"/>
              </a:solidFill>
              <a:effectLst/>
              <a:latin typeface="+mn-lt"/>
              <a:ea typeface="+mn-ea"/>
              <a:cs typeface="+mn-cs"/>
            </a:rPr>
            <a:t>-</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It is important to answer all the questions on each policy area worksheet. This is the only way to get a comprehensive assessment and benchmarking of energy efficiency efforts. </a:t>
          </a:r>
        </a:p>
        <a:p>
          <a:pPr lvl="0"/>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Step 7. </a:t>
          </a:r>
          <a:r>
            <a:rPr lang="en-US" sz="1100">
              <a:solidFill>
                <a:schemeClr val="dk1"/>
              </a:solidFill>
              <a:effectLst/>
              <a:latin typeface="+mn-lt"/>
              <a:ea typeface="+mn-ea"/>
              <a:cs typeface="+mn-cs"/>
            </a:rPr>
            <a:t>After you complete your community’s evaluation, go to the Analysis worksheet to review the results and see a comparison of your community’s score with median scores from the 2017 City Scorecard.</a:t>
          </a:r>
        </a:p>
        <a:p>
          <a:r>
            <a:rPr lang="en-US" sz="1100">
              <a:solidFill>
                <a:schemeClr val="dk1"/>
              </a:solidFill>
              <a:effectLst/>
              <a:latin typeface="+mn-lt"/>
              <a:ea typeface="+mn-ea"/>
              <a:cs typeface="+mn-cs"/>
            </a:rPr>
            <a:t> </a:t>
          </a:r>
          <a:r>
            <a:rPr lang="en-US" sz="1100" baseline="0">
              <a:solidFill>
                <a:schemeClr val="dk1"/>
              </a:solidFill>
              <a:effectLst/>
              <a:latin typeface="+mn-lt"/>
              <a:ea typeface="+mn-ea"/>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We base our analysis on the metrics and questions to which you have provided responses. We provide a more detailed discussion of the tool’s analytical functions in the instructions in the </a:t>
          </a:r>
          <a:r>
            <a:rPr lang="en-US" sz="1100" i="1">
              <a:solidFill>
                <a:schemeClr val="dk1"/>
              </a:solidFill>
              <a:effectLst/>
              <a:latin typeface="+mn-lt"/>
              <a:ea typeface="+mn-ea"/>
              <a:cs typeface="+mn-cs"/>
            </a:rPr>
            <a:t>User Guide</a:t>
          </a:r>
          <a:r>
            <a:rPr lang="en-US" sz="1100" i="0">
              <a:solidFill>
                <a:schemeClr val="dk1"/>
              </a:solidFill>
              <a:effectLst/>
              <a:latin typeface="+mn-lt"/>
              <a:ea typeface="+mn-ea"/>
              <a:cs typeface="+mn-cs"/>
            </a:rPr>
            <a:t>. </a:t>
          </a:r>
          <a:endParaRPr lang="en-US" sz="1100">
            <a:solidFill>
              <a:schemeClr val="dk1"/>
            </a:solidFill>
            <a:effectLst/>
            <a:latin typeface="+mn-lt"/>
            <a:ea typeface="+mn-ea"/>
            <a:cs typeface="+mn-cs"/>
          </a:endParaRPr>
        </a:p>
        <a:p>
          <a:endParaRPr lang="en-US" sz="1100" baseline="0">
            <a:solidFill>
              <a:schemeClr val="dk1"/>
            </a:solidFill>
            <a:effectLst/>
            <a:latin typeface="+mn-lt"/>
            <a:ea typeface="+mn-ea"/>
            <a:cs typeface="+mn-cs"/>
          </a:endParaRPr>
        </a:p>
        <a:p>
          <a:endParaRPr lang="en-US" sz="1100" baseline="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p>
      </xdr:txBody>
    </xdr:sp>
    <xdr:clientData/>
  </xdr:twoCellAnchor>
  <xdr:twoCellAnchor editAs="oneCell">
    <xdr:from>
      <xdr:col>2</xdr:col>
      <xdr:colOff>21168</xdr:colOff>
      <xdr:row>0</xdr:row>
      <xdr:rowOff>105835</xdr:rowOff>
    </xdr:from>
    <xdr:to>
      <xdr:col>6</xdr:col>
      <xdr:colOff>44824</xdr:colOff>
      <xdr:row>6</xdr:row>
      <xdr:rowOff>127001</xdr:rowOff>
    </xdr:to>
    <xdr:pic>
      <xdr:nvPicPr>
        <xdr:cNvPr id="4" name="Picture 1">
          <a:hlinkClick xmlns:r="http://schemas.openxmlformats.org/officeDocument/2006/relationships" r:id="rId1"/>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48835" y="105835"/>
          <a:ext cx="5767916" cy="11641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137582</xdr:colOff>
      <xdr:row>23</xdr:row>
      <xdr:rowOff>26457</xdr:rowOff>
    </xdr:from>
    <xdr:to>
      <xdr:col>6</xdr:col>
      <xdr:colOff>920749</xdr:colOff>
      <xdr:row>28</xdr:row>
      <xdr:rowOff>83344</xdr:rowOff>
    </xdr:to>
    <xdr:sp macro="" textlink="">
      <xdr:nvSpPr>
        <xdr:cNvPr id="5" name="TextBox 4"/>
        <xdr:cNvSpPr txBox="1"/>
      </xdr:nvSpPr>
      <xdr:spPr>
        <a:xfrm>
          <a:off x="5578738" y="4241270"/>
          <a:ext cx="2295261" cy="128323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u="sng"/>
            <a:t>Note</a:t>
          </a:r>
          <a:r>
            <a:rPr lang="en-US" sz="1100" b="0" u="none"/>
            <a:t>: Please</a:t>
          </a:r>
          <a:r>
            <a:rPr lang="en-US" sz="1100" b="0" u="none" baseline="0"/>
            <a:t> complete the cells to the left before moving on to the next tab. We provide a link to the US census to help you find the number of households in your community as well as your state's population (Please use numbers from  2016.)</a:t>
          </a:r>
          <a:endParaRPr lang="en-US" sz="1100" b="1" u="sng"/>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345281</xdr:colOff>
      <xdr:row>11</xdr:row>
      <xdr:rowOff>321467</xdr:rowOff>
    </xdr:from>
    <xdr:to>
      <xdr:col>0</xdr:col>
      <xdr:colOff>2762250</xdr:colOff>
      <xdr:row>15</xdr:row>
      <xdr:rowOff>547687</xdr:rowOff>
    </xdr:to>
    <xdr:sp macro="" textlink="">
      <xdr:nvSpPr>
        <xdr:cNvPr id="3" name="TextBox 2"/>
        <xdr:cNvSpPr txBox="1"/>
      </xdr:nvSpPr>
      <xdr:spPr>
        <a:xfrm>
          <a:off x="345281" y="4155280"/>
          <a:ext cx="2416969" cy="2214563"/>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1" i="0" u="sng">
              <a:solidFill>
                <a:schemeClr val="dk1"/>
              </a:solidFill>
              <a:effectLst/>
              <a:latin typeface="+mn-lt"/>
              <a:ea typeface="+mn-ea"/>
              <a:cs typeface="+mn-cs"/>
            </a:rPr>
            <a:t>Note:</a:t>
          </a:r>
          <a:r>
            <a:rPr lang="en-US" sz="1100" b="1" i="0">
              <a:solidFill>
                <a:schemeClr val="dk1"/>
              </a:solidFill>
              <a:effectLst/>
              <a:latin typeface="+mn-lt"/>
              <a:ea typeface="+mn-ea"/>
              <a:cs typeface="+mn-cs"/>
            </a:rPr>
            <a:t> </a:t>
          </a:r>
          <a:r>
            <a:rPr lang="en-US" sz="1100" b="0">
              <a:solidFill>
                <a:schemeClr val="dk1"/>
              </a:solidFill>
              <a:effectLst/>
              <a:latin typeface="+mn-lt"/>
              <a:ea typeface="+mn-ea"/>
              <a:cs typeface="+mn-cs"/>
            </a:rPr>
            <a:t>You</a:t>
          </a:r>
          <a:r>
            <a:rPr lang="en-US" sz="1100" b="0" baseline="0">
              <a:solidFill>
                <a:schemeClr val="dk1"/>
              </a:solidFill>
              <a:effectLst/>
              <a:latin typeface="+mn-lt"/>
              <a:ea typeface="+mn-ea"/>
              <a:cs typeface="+mn-cs"/>
            </a:rPr>
            <a:t> must answer t</a:t>
          </a:r>
          <a:r>
            <a:rPr lang="en-US" sz="1100">
              <a:solidFill>
                <a:schemeClr val="dk1"/>
              </a:solidFill>
              <a:effectLst/>
              <a:latin typeface="+mn-lt"/>
              <a:ea typeface="+mn-ea"/>
              <a:cs typeface="+mn-cs"/>
            </a:rPr>
            <a:t>he preliminary</a:t>
          </a:r>
          <a:r>
            <a:rPr lang="en-US" sz="1100" baseline="0">
              <a:solidFill>
                <a:schemeClr val="dk1"/>
              </a:solidFill>
              <a:effectLst/>
              <a:latin typeface="+mn-lt"/>
              <a:ea typeface="+mn-ea"/>
              <a:cs typeface="+mn-cs"/>
            </a:rPr>
            <a:t> information </a:t>
          </a:r>
          <a:r>
            <a:rPr lang="en-US" sz="1100">
              <a:solidFill>
                <a:schemeClr val="dk1"/>
              </a:solidFill>
              <a:effectLst/>
              <a:latin typeface="+mn-lt"/>
              <a:ea typeface="+mn-ea"/>
              <a:cs typeface="+mn-cs"/>
            </a:rPr>
            <a:t>questions </a:t>
          </a:r>
          <a:r>
            <a:rPr lang="en-US" sz="1100" b="1">
              <a:solidFill>
                <a:schemeClr val="dk1"/>
              </a:solidFill>
              <a:effectLst/>
              <a:latin typeface="+mn-lt"/>
              <a:ea typeface="+mn-ea"/>
              <a:cs typeface="+mn-cs"/>
            </a:rPr>
            <a:t>before</a:t>
          </a:r>
          <a:r>
            <a:rPr lang="en-US" sz="1100">
              <a:solidFill>
                <a:schemeClr val="dk1"/>
              </a:solidFill>
              <a:effectLst/>
              <a:latin typeface="+mn-lt"/>
              <a:ea typeface="+mn-ea"/>
              <a:cs typeface="+mn-cs"/>
            </a:rPr>
            <a:t> moving on to the questions related to energy</a:t>
          </a:r>
          <a:r>
            <a:rPr lang="en-US" sz="1100" baseline="0">
              <a:solidFill>
                <a:schemeClr val="dk1"/>
              </a:solidFill>
              <a:effectLst/>
              <a:latin typeface="+mn-lt"/>
              <a:ea typeface="+mn-ea"/>
              <a:cs typeface="+mn-cs"/>
            </a:rPr>
            <a:t> efficiency goals and greenhouse gas reduction goals. The data entered will be used to calculate your goal's stringency and progress toward that goal. </a:t>
          </a:r>
        </a:p>
        <a:p>
          <a:pPr marL="0" marR="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If you have any questions, please contact us at cityscorecard@aceee.org.</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353786</xdr:colOff>
      <xdr:row>8</xdr:row>
      <xdr:rowOff>272143</xdr:rowOff>
    </xdr:from>
    <xdr:to>
      <xdr:col>0</xdr:col>
      <xdr:colOff>2782661</xdr:colOff>
      <xdr:row>13</xdr:row>
      <xdr:rowOff>147977</xdr:rowOff>
    </xdr:to>
    <xdr:sp macro="" textlink="">
      <xdr:nvSpPr>
        <xdr:cNvPr id="2" name="TextBox 1"/>
        <xdr:cNvSpPr txBox="1"/>
      </xdr:nvSpPr>
      <xdr:spPr>
        <a:xfrm>
          <a:off x="353786" y="2884714"/>
          <a:ext cx="2428875" cy="1535906"/>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1" i="0" u="sng">
              <a:solidFill>
                <a:schemeClr val="dk1"/>
              </a:solidFill>
              <a:effectLst/>
              <a:latin typeface="+mn-lt"/>
              <a:ea typeface="+mn-ea"/>
              <a:cs typeface="+mn-cs"/>
            </a:rPr>
            <a:t>Note:</a:t>
          </a:r>
          <a:r>
            <a:rPr lang="en-US" sz="1100" b="1" i="0">
              <a:solidFill>
                <a:schemeClr val="dk1"/>
              </a:solidFill>
              <a:effectLst/>
              <a:latin typeface="+mn-lt"/>
              <a:ea typeface="+mn-ea"/>
              <a:cs typeface="+mn-cs"/>
            </a:rPr>
            <a:t> </a:t>
          </a:r>
          <a:r>
            <a:rPr lang="en-US" sz="1100" b="0">
              <a:solidFill>
                <a:schemeClr val="dk1"/>
              </a:solidFill>
              <a:effectLst/>
              <a:latin typeface="+mn-lt"/>
              <a:ea typeface="+mn-ea"/>
              <a:cs typeface="+mn-cs"/>
            </a:rPr>
            <a:t>You</a:t>
          </a:r>
          <a:r>
            <a:rPr lang="en-US" sz="1100" b="0" baseline="0">
              <a:solidFill>
                <a:schemeClr val="dk1"/>
              </a:solidFill>
              <a:effectLst/>
              <a:latin typeface="+mn-lt"/>
              <a:ea typeface="+mn-ea"/>
              <a:cs typeface="+mn-cs"/>
            </a:rPr>
            <a:t> must answer t</a:t>
          </a:r>
          <a:r>
            <a:rPr lang="en-US" sz="1100">
              <a:solidFill>
                <a:schemeClr val="dk1"/>
              </a:solidFill>
              <a:effectLst/>
              <a:latin typeface="+mn-lt"/>
              <a:ea typeface="+mn-ea"/>
              <a:cs typeface="+mn-cs"/>
            </a:rPr>
            <a:t>he preliminary</a:t>
          </a:r>
          <a:r>
            <a:rPr lang="en-US" sz="1100" baseline="0">
              <a:solidFill>
                <a:schemeClr val="dk1"/>
              </a:solidFill>
              <a:effectLst/>
              <a:latin typeface="+mn-lt"/>
              <a:ea typeface="+mn-ea"/>
              <a:cs typeface="+mn-cs"/>
            </a:rPr>
            <a:t> information </a:t>
          </a:r>
          <a:r>
            <a:rPr lang="en-US" sz="1100">
              <a:solidFill>
                <a:schemeClr val="dk1"/>
              </a:solidFill>
              <a:effectLst/>
              <a:latin typeface="+mn-lt"/>
              <a:ea typeface="+mn-ea"/>
              <a:cs typeface="+mn-cs"/>
            </a:rPr>
            <a:t>questions </a:t>
          </a:r>
          <a:r>
            <a:rPr lang="en-US" sz="1100" b="1">
              <a:solidFill>
                <a:schemeClr val="dk1"/>
              </a:solidFill>
              <a:effectLst/>
              <a:latin typeface="+mn-lt"/>
              <a:ea typeface="+mn-ea"/>
              <a:cs typeface="+mn-cs"/>
            </a:rPr>
            <a:t>before</a:t>
          </a:r>
          <a:r>
            <a:rPr lang="en-US" sz="1100">
              <a:solidFill>
                <a:schemeClr val="dk1"/>
              </a:solidFill>
              <a:effectLst/>
              <a:latin typeface="+mn-lt"/>
              <a:ea typeface="+mn-ea"/>
              <a:cs typeface="+mn-cs"/>
            </a:rPr>
            <a:t> moving on to questions about energy</a:t>
          </a:r>
          <a:r>
            <a:rPr lang="en-US" sz="1100" baseline="0">
              <a:solidFill>
                <a:schemeClr val="dk1"/>
              </a:solidFill>
              <a:effectLst/>
              <a:latin typeface="+mn-lt"/>
              <a:ea typeface="+mn-ea"/>
              <a:cs typeface="+mn-cs"/>
            </a:rPr>
            <a:t> efficiency goals and greenhouse gas reduction goals. The data entered will be used to calculate your goal's stringency and progress toward that goal. </a:t>
          </a:r>
        </a:p>
        <a:p>
          <a:pPr marL="0" marR="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If you have any questions, please contact us at cityscorecard@aceee.org.</a:t>
          </a:r>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70909</xdr:colOff>
      <xdr:row>9</xdr:row>
      <xdr:rowOff>105834</xdr:rowOff>
    </xdr:from>
    <xdr:to>
      <xdr:col>0</xdr:col>
      <xdr:colOff>2868084</xdr:colOff>
      <xdr:row>11</xdr:row>
      <xdr:rowOff>190500</xdr:rowOff>
    </xdr:to>
    <xdr:sp macro="" textlink="">
      <xdr:nvSpPr>
        <xdr:cNvPr id="3" name="TextBox 2"/>
        <xdr:cNvSpPr txBox="1"/>
      </xdr:nvSpPr>
      <xdr:spPr>
        <a:xfrm>
          <a:off x="70909" y="3320522"/>
          <a:ext cx="2797175" cy="1763447"/>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u="sng">
              <a:solidFill>
                <a:schemeClr val="tx1"/>
              </a:solidFill>
              <a:effectLst/>
              <a:latin typeface="+mn-lt"/>
              <a:ea typeface="+mn-ea"/>
              <a:cs typeface="+mn-cs"/>
            </a:rPr>
            <a:t>Note:</a:t>
          </a:r>
          <a:r>
            <a:rPr lang="en-US" sz="1100" b="1" u="none">
              <a:solidFill>
                <a:schemeClr val="tx1"/>
              </a:solidFill>
              <a:effectLst/>
              <a:latin typeface="+mn-lt"/>
              <a:ea typeface="+mn-ea"/>
              <a:cs typeface="+mn-cs"/>
            </a:rPr>
            <a:t> </a:t>
          </a:r>
          <a:r>
            <a:rPr lang="en-US" sz="1100" b="0" u="none">
              <a:solidFill>
                <a:schemeClr val="tx1"/>
              </a:solidFill>
              <a:effectLst/>
              <a:latin typeface="+mn-lt"/>
              <a:ea typeface="+mn-ea"/>
              <a:cs typeface="+mn-cs"/>
            </a:rPr>
            <a:t>You</a:t>
          </a:r>
          <a:r>
            <a:rPr lang="en-US" sz="1100" b="0" u="none" baseline="0">
              <a:solidFill>
                <a:schemeClr val="tx1"/>
              </a:solidFill>
              <a:effectLst/>
              <a:latin typeface="+mn-lt"/>
              <a:ea typeface="+mn-ea"/>
              <a:cs typeface="+mn-cs"/>
            </a:rPr>
            <a:t> must answer t</a:t>
          </a:r>
          <a:r>
            <a:rPr lang="en-US" sz="1100">
              <a:solidFill>
                <a:schemeClr val="dk1"/>
              </a:solidFill>
              <a:effectLst/>
              <a:latin typeface="+mn-lt"/>
              <a:ea typeface="+mn-ea"/>
              <a:cs typeface="+mn-cs"/>
            </a:rPr>
            <a:t>he preliminary</a:t>
          </a:r>
          <a:r>
            <a:rPr lang="en-US" sz="1100" baseline="0">
              <a:solidFill>
                <a:schemeClr val="dk1"/>
              </a:solidFill>
              <a:effectLst/>
              <a:latin typeface="+mn-lt"/>
              <a:ea typeface="+mn-ea"/>
              <a:cs typeface="+mn-cs"/>
            </a:rPr>
            <a:t> information </a:t>
          </a:r>
          <a:r>
            <a:rPr lang="en-US" sz="1100">
              <a:solidFill>
                <a:schemeClr val="dk1"/>
              </a:solidFill>
              <a:effectLst/>
              <a:latin typeface="+mn-lt"/>
              <a:ea typeface="+mn-ea"/>
              <a:cs typeface="+mn-cs"/>
            </a:rPr>
            <a:t>questions </a:t>
          </a:r>
          <a:r>
            <a:rPr lang="en-US" sz="1100" b="1">
              <a:solidFill>
                <a:schemeClr val="dk1"/>
              </a:solidFill>
              <a:effectLst/>
              <a:latin typeface="+mn-lt"/>
              <a:ea typeface="+mn-ea"/>
              <a:cs typeface="+mn-cs"/>
            </a:rPr>
            <a:t>before</a:t>
          </a:r>
          <a:r>
            <a:rPr lang="en-US" sz="1100">
              <a:solidFill>
                <a:schemeClr val="dk1"/>
              </a:solidFill>
              <a:effectLst/>
              <a:latin typeface="+mn-lt"/>
              <a:ea typeface="+mn-ea"/>
              <a:cs typeface="+mn-cs"/>
            </a:rPr>
            <a:t> moving on to other questions. If you do not answer these  questions first, errors in scoring will occur. Also, some questions may change depending on the responses you give to the introductory</a:t>
          </a:r>
          <a:r>
            <a:rPr lang="en-US" sz="1100" baseline="0">
              <a:solidFill>
                <a:schemeClr val="dk1"/>
              </a:solidFill>
              <a:effectLst/>
              <a:latin typeface="+mn-lt"/>
              <a:ea typeface="+mn-ea"/>
              <a:cs typeface="+mn-cs"/>
            </a:rPr>
            <a:t> questions. </a:t>
          </a:r>
          <a:r>
            <a:rPr lang="en-US" sz="1100">
              <a:solidFill>
                <a:schemeClr val="dk1"/>
              </a:solidFill>
              <a:effectLst/>
              <a:latin typeface="+mn-lt"/>
              <a:ea typeface="+mn-ea"/>
              <a:cs typeface="+mn-cs"/>
            </a:rPr>
            <a:t>If the text in a cell changes to “Not applicable,” proceed to the next question.  </a:t>
          </a:r>
          <a:endParaRPr lang="en-US" sz="1100">
            <a:latin typeface="+mn-l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158750</xdr:colOff>
      <xdr:row>11</xdr:row>
      <xdr:rowOff>83604</xdr:rowOff>
    </xdr:from>
    <xdr:to>
      <xdr:col>0</xdr:col>
      <xdr:colOff>2995084</xdr:colOff>
      <xdr:row>16</xdr:row>
      <xdr:rowOff>214312</xdr:rowOff>
    </xdr:to>
    <xdr:sp macro="" textlink="">
      <xdr:nvSpPr>
        <xdr:cNvPr id="2" name="TextBox 1"/>
        <xdr:cNvSpPr txBox="1"/>
      </xdr:nvSpPr>
      <xdr:spPr>
        <a:xfrm>
          <a:off x="158750" y="3298292"/>
          <a:ext cx="2836334" cy="2035708"/>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1" i="0" u="sng">
              <a:solidFill>
                <a:schemeClr val="dk1"/>
              </a:solidFill>
              <a:effectLst/>
              <a:latin typeface="+mn-lt"/>
              <a:ea typeface="+mn-ea"/>
              <a:cs typeface="+mn-cs"/>
            </a:rPr>
            <a:t>Note:</a:t>
          </a:r>
          <a:r>
            <a:rPr lang="en-US" sz="1200" b="1" i="0" u="none">
              <a:solidFill>
                <a:schemeClr val="dk1"/>
              </a:solidFill>
              <a:effectLst/>
              <a:latin typeface="+mn-lt"/>
              <a:ea typeface="+mn-ea"/>
              <a:cs typeface="+mn-cs"/>
            </a:rPr>
            <a:t> </a:t>
          </a:r>
          <a:r>
            <a:rPr lang="en-US" sz="1200" b="0" i="0" u="none">
              <a:solidFill>
                <a:schemeClr val="dk1"/>
              </a:solidFill>
              <a:effectLst/>
              <a:latin typeface="+mn-lt"/>
              <a:ea typeface="+mn-ea"/>
              <a:cs typeface="+mn-cs"/>
            </a:rPr>
            <a:t>You</a:t>
          </a:r>
          <a:r>
            <a:rPr lang="en-US" sz="1200" b="0" i="0" u="none" baseline="0">
              <a:solidFill>
                <a:schemeClr val="dk1"/>
              </a:solidFill>
              <a:effectLst/>
              <a:latin typeface="+mn-lt"/>
              <a:ea typeface="+mn-ea"/>
              <a:cs typeface="+mn-cs"/>
            </a:rPr>
            <a:t> must select the ownership structure of the primary electric and gas utilities </a:t>
          </a:r>
          <a:r>
            <a:rPr lang="en-US" sz="1200" b="1" i="0" u="none" baseline="0">
              <a:solidFill>
                <a:schemeClr val="dk1"/>
              </a:solidFill>
              <a:effectLst/>
              <a:latin typeface="+mn-lt"/>
              <a:ea typeface="+mn-ea"/>
              <a:cs typeface="+mn-cs"/>
            </a:rPr>
            <a:t>before</a:t>
          </a:r>
          <a:r>
            <a:rPr lang="en-US" sz="1200" b="0" i="0" u="none" baseline="0">
              <a:solidFill>
                <a:schemeClr val="dk1"/>
              </a:solidFill>
              <a:effectLst/>
              <a:latin typeface="+mn-lt"/>
              <a:ea typeface="+mn-ea"/>
              <a:cs typeface="+mn-cs"/>
            </a:rPr>
            <a:t> moving on to other questions. If you don't, </a:t>
          </a:r>
          <a:r>
            <a:rPr lang="en-US" sz="1200">
              <a:solidFill>
                <a:schemeClr val="dk1"/>
              </a:solidFill>
              <a:effectLst/>
              <a:latin typeface="+mn-lt"/>
              <a:ea typeface="+mn-ea"/>
              <a:cs typeface="+mn-cs"/>
            </a:rPr>
            <a:t>errors in scoring will occur. Also, some questions may change depending on the responses you provide to the</a:t>
          </a:r>
          <a:r>
            <a:rPr lang="en-US" sz="1200" baseline="0">
              <a:solidFill>
                <a:schemeClr val="dk1"/>
              </a:solidFill>
              <a:effectLst/>
              <a:latin typeface="+mn-lt"/>
              <a:ea typeface="+mn-ea"/>
              <a:cs typeface="+mn-cs"/>
            </a:rPr>
            <a:t> questions in the preliminary information box. </a:t>
          </a:r>
          <a:r>
            <a:rPr lang="en-US" sz="1200">
              <a:solidFill>
                <a:schemeClr val="dk1"/>
              </a:solidFill>
              <a:effectLst/>
              <a:latin typeface="+mn-lt"/>
              <a:ea typeface="+mn-ea"/>
              <a:cs typeface="+mn-cs"/>
            </a:rPr>
            <a:t>If the text in a cell changes to “not applicable,” proceed to the next question.  </a:t>
          </a:r>
          <a:endParaRPr lang="en-US" sz="1200">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428624</xdr:colOff>
      <xdr:row>11</xdr:row>
      <xdr:rowOff>273843</xdr:rowOff>
    </xdr:from>
    <xdr:to>
      <xdr:col>0</xdr:col>
      <xdr:colOff>2607467</xdr:colOff>
      <xdr:row>14</xdr:row>
      <xdr:rowOff>381000</xdr:rowOff>
    </xdr:to>
    <xdr:sp macro="" textlink="">
      <xdr:nvSpPr>
        <xdr:cNvPr id="2" name="TextBox 1"/>
        <xdr:cNvSpPr txBox="1"/>
      </xdr:nvSpPr>
      <xdr:spPr>
        <a:xfrm>
          <a:off x="428624" y="3571874"/>
          <a:ext cx="2178843" cy="1154907"/>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1" i="0" u="sng">
              <a:solidFill>
                <a:schemeClr val="dk1"/>
              </a:solidFill>
              <a:effectLst/>
              <a:latin typeface="+mn-lt"/>
              <a:ea typeface="+mn-ea"/>
              <a:cs typeface="+mn-cs"/>
            </a:rPr>
            <a:t>Note:</a:t>
          </a:r>
          <a:r>
            <a:rPr lang="en-US" sz="1100" b="1" i="0">
              <a:solidFill>
                <a:schemeClr val="dk1"/>
              </a:solidFill>
              <a:effectLst/>
              <a:latin typeface="+mn-lt"/>
              <a:ea typeface="+mn-ea"/>
              <a:cs typeface="+mn-cs"/>
            </a:rPr>
            <a:t> </a:t>
          </a:r>
          <a:r>
            <a:rPr lang="en-US" sz="1100" b="0">
              <a:solidFill>
                <a:schemeClr val="dk1"/>
              </a:solidFill>
              <a:effectLst/>
              <a:latin typeface="+mn-lt"/>
              <a:ea typeface="+mn-ea"/>
              <a:cs typeface="+mn-cs"/>
            </a:rPr>
            <a:t>You</a:t>
          </a:r>
          <a:r>
            <a:rPr lang="en-US" sz="1100" b="0" baseline="0">
              <a:solidFill>
                <a:schemeClr val="dk1"/>
              </a:solidFill>
              <a:effectLst/>
              <a:latin typeface="+mn-lt"/>
              <a:ea typeface="+mn-ea"/>
              <a:cs typeface="+mn-cs"/>
            </a:rPr>
            <a:t> must answer t</a:t>
          </a:r>
          <a:r>
            <a:rPr lang="en-US" sz="1100">
              <a:solidFill>
                <a:schemeClr val="dk1"/>
              </a:solidFill>
              <a:effectLst/>
              <a:latin typeface="+mn-lt"/>
              <a:ea typeface="+mn-ea"/>
              <a:cs typeface="+mn-cs"/>
            </a:rPr>
            <a:t>he preliminary</a:t>
          </a:r>
          <a:r>
            <a:rPr lang="en-US" sz="1100" baseline="0">
              <a:solidFill>
                <a:schemeClr val="dk1"/>
              </a:solidFill>
              <a:effectLst/>
              <a:latin typeface="+mn-lt"/>
              <a:ea typeface="+mn-ea"/>
              <a:cs typeface="+mn-cs"/>
            </a:rPr>
            <a:t> information </a:t>
          </a:r>
          <a:r>
            <a:rPr lang="en-US" sz="1100">
              <a:solidFill>
                <a:schemeClr val="dk1"/>
              </a:solidFill>
              <a:effectLst/>
              <a:latin typeface="+mn-lt"/>
              <a:ea typeface="+mn-ea"/>
              <a:cs typeface="+mn-cs"/>
            </a:rPr>
            <a:t>questions </a:t>
          </a:r>
          <a:r>
            <a:rPr lang="en-US" sz="1100" b="1">
              <a:solidFill>
                <a:schemeClr val="dk1"/>
              </a:solidFill>
              <a:effectLst/>
              <a:latin typeface="+mn-lt"/>
              <a:ea typeface="+mn-ea"/>
              <a:cs typeface="+mn-cs"/>
            </a:rPr>
            <a:t>before</a:t>
          </a:r>
          <a:r>
            <a:rPr lang="en-US" sz="1100">
              <a:solidFill>
                <a:schemeClr val="dk1"/>
              </a:solidFill>
              <a:effectLst/>
              <a:latin typeface="+mn-lt"/>
              <a:ea typeface="+mn-ea"/>
              <a:cs typeface="+mn-cs"/>
            </a:rPr>
            <a:t> moving on to other questions. If you do not answer these  questions first, errors in scoring will occur. </a:t>
          </a:r>
          <a:endParaRPr 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893761</xdr:colOff>
      <xdr:row>4</xdr:row>
      <xdr:rowOff>50802</xdr:rowOff>
    </xdr:from>
    <xdr:to>
      <xdr:col>10</xdr:col>
      <xdr:colOff>346867</xdr:colOff>
      <xdr:row>14</xdr:row>
      <xdr:rowOff>23813</xdr:rowOff>
    </xdr:to>
    <xdr:sp macro="" textlink="">
      <xdr:nvSpPr>
        <xdr:cNvPr id="11" name="TextBox 10"/>
        <xdr:cNvSpPr txBox="1"/>
      </xdr:nvSpPr>
      <xdr:spPr>
        <a:xfrm>
          <a:off x="8656636" y="991396"/>
          <a:ext cx="2822575" cy="1758948"/>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200" b="1" i="1" u="sng">
              <a:solidFill>
                <a:schemeClr val="dk1"/>
              </a:solidFill>
              <a:effectLst/>
              <a:latin typeface="+mn-lt"/>
              <a:ea typeface="+mn-ea"/>
              <a:cs typeface="+mn-cs"/>
            </a:rPr>
            <a:t>City</a:t>
          </a:r>
          <a:r>
            <a:rPr lang="en-US" sz="1200" b="1" i="1" u="sng" baseline="0">
              <a:solidFill>
                <a:schemeClr val="dk1"/>
              </a:solidFill>
              <a:effectLst/>
              <a:latin typeface="+mn-lt"/>
              <a:ea typeface="+mn-ea"/>
              <a:cs typeface="+mn-cs"/>
            </a:rPr>
            <a:t> Scorecard</a:t>
          </a:r>
          <a:r>
            <a:rPr lang="en-US" sz="1200" b="1" i="1" u="sng">
              <a:solidFill>
                <a:schemeClr val="dk1"/>
              </a:solidFill>
              <a:effectLst/>
              <a:latin typeface="+mn-lt"/>
              <a:ea typeface="+mn-ea"/>
              <a:cs typeface="+mn-cs"/>
            </a:rPr>
            <a:t> </a:t>
          </a:r>
          <a:r>
            <a:rPr lang="en-US" sz="1200" b="1" u="sng">
              <a:solidFill>
                <a:schemeClr val="dk1"/>
              </a:solidFill>
              <a:effectLst/>
              <a:latin typeface="+mn-lt"/>
              <a:ea typeface="+mn-ea"/>
              <a:cs typeface="+mn-cs"/>
            </a:rPr>
            <a:t>comparison:</a:t>
          </a:r>
          <a:r>
            <a:rPr lang="en-US" sz="1200" b="1" u="none">
              <a:solidFill>
                <a:schemeClr val="dk1"/>
              </a:solidFill>
              <a:effectLst/>
              <a:latin typeface="+mn-lt"/>
              <a:ea typeface="+mn-ea"/>
              <a:cs typeface="+mn-cs"/>
            </a:rPr>
            <a:t> </a:t>
          </a:r>
          <a:r>
            <a:rPr lang="en-US" sz="1200" b="0" u="none">
              <a:solidFill>
                <a:schemeClr val="dk1"/>
              </a:solidFill>
              <a:effectLst/>
              <a:latin typeface="+mn-lt"/>
              <a:ea typeface="+mn-ea"/>
              <a:cs typeface="+mn-cs"/>
            </a:rPr>
            <a:t>This graph aggregates the score of your community and compares it with the median</a:t>
          </a:r>
          <a:r>
            <a:rPr lang="en-US" sz="1200" b="0" u="none" baseline="0">
              <a:solidFill>
                <a:schemeClr val="dk1"/>
              </a:solidFill>
              <a:effectLst/>
              <a:latin typeface="+mn-lt"/>
              <a:ea typeface="+mn-ea"/>
              <a:cs typeface="+mn-cs"/>
            </a:rPr>
            <a:t> scores of all 51 cities in the </a:t>
          </a:r>
          <a:r>
            <a:rPr lang="en-US" sz="1200" b="0" i="1" u="none" baseline="0">
              <a:solidFill>
                <a:schemeClr val="dk1"/>
              </a:solidFill>
              <a:effectLst/>
              <a:latin typeface="+mn-lt"/>
              <a:ea typeface="+mn-ea"/>
              <a:cs typeface="+mn-cs"/>
            </a:rPr>
            <a:t>2017 City Scorecard</a:t>
          </a:r>
          <a:r>
            <a:rPr lang="en-US" sz="1200" b="0" u="none">
              <a:solidFill>
                <a:schemeClr val="dk1"/>
              </a:solidFill>
              <a:effectLst/>
              <a:latin typeface="+mn-lt"/>
              <a:ea typeface="+mn-ea"/>
              <a:cs typeface="+mn-cs"/>
            </a:rPr>
            <a:t>. The comparison is based on the metrics and questions you have activated by selecting a scoring criterion in the Scoring Criteria column.  </a:t>
          </a:r>
        </a:p>
      </xdr:txBody>
    </xdr:sp>
    <xdr:clientData/>
  </xdr:twoCellAnchor>
  <xdr:twoCellAnchor>
    <xdr:from>
      <xdr:col>5</xdr:col>
      <xdr:colOff>154780</xdr:colOff>
      <xdr:row>32</xdr:row>
      <xdr:rowOff>10321</xdr:rowOff>
    </xdr:from>
    <xdr:to>
      <xdr:col>9</xdr:col>
      <xdr:colOff>59530</xdr:colOff>
      <xdr:row>36</xdr:row>
      <xdr:rowOff>0</xdr:rowOff>
    </xdr:to>
    <xdr:sp macro="" textlink="">
      <xdr:nvSpPr>
        <xdr:cNvPr id="4" name="TextBox 3"/>
        <xdr:cNvSpPr txBox="1"/>
      </xdr:nvSpPr>
      <xdr:spPr>
        <a:xfrm>
          <a:off x="7465218" y="5963446"/>
          <a:ext cx="3119437" cy="1132679"/>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1" u="sng"/>
            <a:t>Detailed comparison</a:t>
          </a:r>
          <a:r>
            <a:rPr lang="en-US" sz="1200" u="sng" baseline="0"/>
            <a:t>:</a:t>
          </a:r>
          <a:r>
            <a:rPr lang="en-US" sz="1200" baseline="0"/>
            <a:t> </a:t>
          </a:r>
          <a:r>
            <a:rPr lang="en-US" sz="1200">
              <a:solidFill>
                <a:schemeClr val="dk1"/>
              </a:solidFill>
              <a:effectLst/>
              <a:latin typeface="+mn-lt"/>
              <a:ea typeface="+mn-ea"/>
              <a:cs typeface="+mn-cs"/>
            </a:rPr>
            <a:t>Here you can see scores associated with each individual metric in the Self-Scoring Tool. We</a:t>
          </a:r>
          <a:r>
            <a:rPr lang="en-US" sz="1200" baseline="0">
              <a:solidFill>
                <a:schemeClr val="dk1"/>
              </a:solidFill>
              <a:effectLst/>
              <a:latin typeface="+mn-lt"/>
              <a:ea typeface="+mn-ea"/>
              <a:cs typeface="+mn-cs"/>
            </a:rPr>
            <a:t> display</a:t>
          </a:r>
          <a:r>
            <a:rPr lang="en-US" sz="1200">
              <a:solidFill>
                <a:schemeClr val="dk1"/>
              </a:solidFill>
              <a:effectLst/>
              <a:latin typeface="+mn-lt"/>
              <a:ea typeface="+mn-ea"/>
              <a:cs typeface="+mn-cs"/>
            </a:rPr>
            <a:t> maximum scores, median scores</a:t>
          </a:r>
          <a:r>
            <a:rPr lang="en-US" sz="1200" baseline="0">
              <a:solidFill>
                <a:schemeClr val="dk1"/>
              </a:solidFill>
              <a:effectLst/>
              <a:latin typeface="+mn-lt"/>
              <a:ea typeface="+mn-ea"/>
              <a:cs typeface="+mn-cs"/>
            </a:rPr>
            <a:t> from the </a:t>
          </a:r>
          <a:r>
            <a:rPr lang="en-US" sz="1200" i="1" baseline="0">
              <a:solidFill>
                <a:schemeClr val="dk1"/>
              </a:solidFill>
              <a:effectLst/>
              <a:latin typeface="+mn-lt"/>
              <a:ea typeface="+mn-ea"/>
              <a:cs typeface="+mn-cs"/>
            </a:rPr>
            <a:t>2017</a:t>
          </a:r>
          <a:r>
            <a:rPr lang="en-US" sz="1200" i="1">
              <a:solidFill>
                <a:schemeClr val="dk1"/>
              </a:solidFill>
              <a:effectLst/>
              <a:latin typeface="+mn-lt"/>
              <a:ea typeface="+mn-ea"/>
              <a:cs typeface="+mn-cs"/>
            </a:rPr>
            <a:t> City Scorecard</a:t>
          </a:r>
          <a:r>
            <a:rPr lang="en-US" sz="1200">
              <a:solidFill>
                <a:schemeClr val="dk1"/>
              </a:solidFill>
              <a:effectLst/>
              <a:latin typeface="+mn-lt"/>
              <a:ea typeface="+mn-ea"/>
              <a:cs typeface="+mn-cs"/>
            </a:rPr>
            <a:t>, and your community’s scores. </a:t>
          </a:r>
        </a:p>
      </xdr:txBody>
    </xdr:sp>
    <xdr:clientData/>
  </xdr:twoCellAnchor>
  <xdr:twoCellAnchor>
    <xdr:from>
      <xdr:col>0</xdr:col>
      <xdr:colOff>0</xdr:colOff>
      <xdr:row>2</xdr:row>
      <xdr:rowOff>21430</xdr:rowOff>
    </xdr:from>
    <xdr:to>
      <xdr:col>6</xdr:col>
      <xdr:colOff>726281</xdr:colOff>
      <xdr:row>30</xdr:row>
      <xdr:rowOff>130968</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3" name="Table3" displayName="Table3" ref="A75:E97" totalsRowShown="0">
  <autoFilter ref="A75:E97">
    <filterColumn colId="0" hiddenButton="1"/>
    <filterColumn colId="1" hiddenButton="1"/>
    <filterColumn colId="2" hiddenButton="1"/>
    <filterColumn colId="3" hiddenButton="1"/>
    <filterColumn colId="4" hiddenButton="1"/>
  </autoFilter>
  <tableColumns count="5">
    <tableColumn id="1" name="Corresponding row"/>
    <tableColumn id="2" name="Option #1"/>
    <tableColumn id="3" name="Option #2"/>
    <tableColumn id="4" name="Option #3"/>
    <tableColumn id="5" name="Option #4"/>
  </tableColumns>
  <tableStyleInfo name="TableStyleMedium2" showFirstColumn="0" showLastColumn="0" showRowStripes="1" showColumnStripes="0"/>
</table>
</file>

<file path=xl/tables/table2.xml><?xml version="1.0" encoding="utf-8"?>
<table xmlns="http://schemas.openxmlformats.org/spreadsheetml/2006/main" id="1" name="Table1" displayName="Table1" ref="A68:E82" totalsRowShown="0" headerRowDxfId="31" headerRowBorderDxfId="30" tableBorderDxfId="29" dataCellStyle="Normal 6">
  <autoFilter ref="A68:E82"/>
  <tableColumns count="5">
    <tableColumn id="1" name="Corresponding cell" dataCellStyle="Normal 6"/>
    <tableColumn id="2" name="Option #1" dataCellStyle="Normal 6"/>
    <tableColumn id="3" name="Option #2" dataCellStyle="Normal 6"/>
    <tableColumn id="4" name="Option #3" dataCellStyle="Normal 6"/>
    <tableColumn id="5" name="Option #4" dataCellStyle="Normal 6"/>
  </tableColumns>
  <tableStyleInfo name="TableStyleMedium2" showFirstColumn="0" showLastColumn="0" showRowStripes="1" showColumnStripes="0"/>
</table>
</file>

<file path=xl/tables/table3.xml><?xml version="1.0" encoding="utf-8"?>
<table xmlns="http://schemas.openxmlformats.org/spreadsheetml/2006/main" id="2" name="Table2" displayName="Table2" ref="A83:H110" headerRowDxfId="27" dataDxfId="26" totalsRowDxfId="25" totalsRowCellStyle="Percent 2">
  <tableColumns count="8">
    <tableColumn id="1" name="Corresponding cell" totalsRowLabel="Total" dataDxfId="24" totalsRowDxfId="23"/>
    <tableColumn id="2" name="Option #1" dataDxfId="22" totalsRowDxfId="21"/>
    <tableColumn id="3" name="Option #2" dataDxfId="20" totalsRowDxfId="19"/>
    <tableColumn id="4" name="Option #3" totalsRowFunction="count" dataDxfId="18" totalsRowDxfId="17"/>
    <tableColumn id="5" name="Option #4" dataDxfId="16" totalsRowDxfId="15" dataCellStyle="Percent 2"/>
    <tableColumn id="6" name="Option #5" dataDxfId="14" totalsRowDxfId="13" dataCellStyle="Percent 2"/>
    <tableColumn id="7" name="Option #6" dataDxfId="12" totalsRowDxfId="11" dataCellStyle="Percent 2"/>
    <tableColumn id="8" name="Option #7" dataDxfId="10" totalsRowDxfId="9" dataCellStyle="Percent 2"/>
  </tableColumns>
  <tableStyleInfo name="TableStyleMedium2" showFirstColumn="1" showLastColumn="0" showRowStripes="1" showColumnStripes="0"/>
</table>
</file>

<file path=xl/tables/table4.xml><?xml version="1.0" encoding="utf-8"?>
<table xmlns="http://schemas.openxmlformats.org/spreadsheetml/2006/main" id="4" name="Table4" displayName="Table4" ref="A70:F96" totalsRowShown="0" headerRowDxfId="7" dataDxfId="6">
  <autoFilter ref="A70:F96"/>
  <tableColumns count="6">
    <tableColumn id="1" name="Corresponding Cell" dataDxfId="5"/>
    <tableColumn id="2" name="Option #1" dataDxfId="4"/>
    <tableColumn id="3" name="Option #2" dataDxfId="3"/>
    <tableColumn id="4" name="Option #3" dataDxfId="2"/>
    <tableColumn id="5" name="Option #4" dataDxfId="1"/>
    <tableColumn id="6" name="Column1"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factfinder2.census.gov/faces/nav/jsf/pages/index.xhtml" TargetMode="External"/><Relationship Id="rId7"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3.bin"/><Relationship Id="rId5" Type="http://schemas.openxmlformats.org/officeDocument/2006/relationships/hyperlink" Target="http://factfinder2.census.gov/faces/nav/jsf/pages/index.xhtml" TargetMode="External"/><Relationship Id="rId4" Type="http://schemas.openxmlformats.org/officeDocument/2006/relationships/hyperlink" Target="http://factfinder2.census.gov/faces/nav/jsf/pages/index.xhtml"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7" Type="http://schemas.openxmlformats.org/officeDocument/2006/relationships/comments" Target="../comments1.x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6" Type="http://schemas.openxmlformats.org/officeDocument/2006/relationships/table" Target="../tables/table1.xml"/><Relationship Id="rId5" Type="http://schemas.openxmlformats.org/officeDocument/2006/relationships/vmlDrawing" Target="../drawings/vmlDrawing1.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7" Type="http://schemas.openxmlformats.org/officeDocument/2006/relationships/comments" Target="../comments2.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table" Target="../tables/table2.xml"/><Relationship Id="rId5" Type="http://schemas.openxmlformats.org/officeDocument/2006/relationships/vmlDrawing" Target="../drawings/vmlDrawing2.vm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8" Type="http://schemas.openxmlformats.org/officeDocument/2006/relationships/hyperlink" Target="http://energycodesocean.org/code-status" TargetMode="External"/><Relationship Id="rId13" Type="http://schemas.openxmlformats.org/officeDocument/2006/relationships/vmlDrawing" Target="../drawings/vmlDrawing3.vml"/><Relationship Id="rId3" Type="http://schemas.openxmlformats.org/officeDocument/2006/relationships/hyperlink" Target="http://bcapcodes.org/code-status/" TargetMode="External"/><Relationship Id="rId7" Type="http://schemas.openxmlformats.org/officeDocument/2006/relationships/hyperlink" Target="http://bcapcodes.org/code-status/" TargetMode="External"/><Relationship Id="rId12" Type="http://schemas.openxmlformats.org/officeDocument/2006/relationships/drawing" Target="../drawings/drawing4.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hyperlink" Target="http://bcapcodes.org/code-status/" TargetMode="External"/><Relationship Id="rId11" Type="http://schemas.openxmlformats.org/officeDocument/2006/relationships/printerSettings" Target="../printerSettings/printerSettings12.bin"/><Relationship Id="rId5" Type="http://schemas.openxmlformats.org/officeDocument/2006/relationships/hyperlink" Target="http://www.imt.org/resources/detail/map-u.s.-building-benchmarking-policies" TargetMode="External"/><Relationship Id="rId10" Type="http://schemas.openxmlformats.org/officeDocument/2006/relationships/hyperlink" Target="http://www.imt.org/resources/detail/map-u.s.-building-benchmarking-policies" TargetMode="External"/><Relationship Id="rId4" Type="http://schemas.openxmlformats.org/officeDocument/2006/relationships/hyperlink" Target="http://bcapcodes.org/code-status/" TargetMode="External"/><Relationship Id="rId9" Type="http://schemas.openxmlformats.org/officeDocument/2006/relationships/hyperlink" Target="http://bcapcodes.org/code-status/" TargetMode="External"/><Relationship Id="rId1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6.xml.rels><?xml version="1.0" encoding="UTF-8" standalone="yes"?>
<Relationships xmlns="http://schemas.openxmlformats.org/package/2006/relationships"><Relationship Id="rId8" Type="http://schemas.openxmlformats.org/officeDocument/2006/relationships/hyperlink" Target="http://www.eia.gov/electricity/data/eia826/" TargetMode="External"/><Relationship Id="rId13" Type="http://schemas.openxmlformats.org/officeDocument/2006/relationships/table" Target="../tables/table3.xml"/><Relationship Id="rId3" Type="http://schemas.openxmlformats.org/officeDocument/2006/relationships/hyperlink" Target="http://www.eia.gov/cfapps/ngqs/ngqs.cfm?f_report=RP4&amp;f_sortby=&amp;f_items=&amp;f_year_start=&amp;f_year_end=&amp;f_show_compid=&amp;f_fullscreen=" TargetMode="External"/><Relationship Id="rId7" Type="http://schemas.openxmlformats.org/officeDocument/2006/relationships/hyperlink" Target="http://www.eia.gov/cfapps/ngqs/ngqs.cfm?f_report=RPC&amp;f_sortby=ACI&amp;f_items=*MULTIPLE*&amp;f_year_start=2011&amp;f_year_end=2014&amp;f_show_compid=Name&amp;f_fullscreen=" TargetMode="External"/><Relationship Id="rId12" Type="http://schemas.openxmlformats.org/officeDocument/2006/relationships/vmlDrawing" Target="../drawings/vmlDrawing4.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hyperlink" Target="https://www.energystar.gov/buildings/tools-and-resources/directory-energy-efficiency-programs-leveraging-energy-star" TargetMode="External"/><Relationship Id="rId11" Type="http://schemas.openxmlformats.org/officeDocument/2006/relationships/drawing" Target="../drawings/drawing5.xml"/><Relationship Id="rId5" Type="http://schemas.openxmlformats.org/officeDocument/2006/relationships/hyperlink" Target="http://www.eia.gov/electricity/data/eia861/" TargetMode="External"/><Relationship Id="rId10" Type="http://schemas.openxmlformats.org/officeDocument/2006/relationships/printerSettings" Target="../printerSettings/printerSettings18.bin"/><Relationship Id="rId4" Type="http://schemas.openxmlformats.org/officeDocument/2006/relationships/hyperlink" Target="http://www.eia.gov/electricity/data/eia826/" TargetMode="External"/><Relationship Id="rId9" Type="http://schemas.openxmlformats.org/officeDocument/2006/relationships/hyperlink" Target="http://www.eia.gov/electricity/data/eia861/" TargetMode="External"/><Relationship Id="rId1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8" Type="http://schemas.openxmlformats.org/officeDocument/2006/relationships/hyperlink" Target="https://factfinder.census.gov/faces/tableservices/jsf/pages/productview.xhtml?src=CF" TargetMode="External"/><Relationship Id="rId13" Type="http://schemas.openxmlformats.org/officeDocument/2006/relationships/table" Target="../tables/table4.xml"/><Relationship Id="rId3" Type="http://schemas.openxmlformats.org/officeDocument/2006/relationships/hyperlink" Target="https://smartgrowthamerica.org/resources/the-best-complete-streets-policies-of-2016/" TargetMode="External"/><Relationship Id="rId7" Type="http://schemas.openxmlformats.org/officeDocument/2006/relationships/hyperlink" Target="https://maps.google.com/maps/ms?ie=UTF8&amp;hl=en&amp;om=1&amp;msa=0&amp;msid=104227318304000014160.00043d80f9456b3416ced&amp;ll=43.580391,-42.890625&amp;spn=143.80149,154.6875&amp;z=1&amp;source=embed" TargetMode="External"/><Relationship Id="rId12" Type="http://schemas.openxmlformats.org/officeDocument/2006/relationships/vmlDrawing" Target="../drawings/vmlDrawing5.v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6" Type="http://schemas.openxmlformats.org/officeDocument/2006/relationships/hyperlink" Target="http://www.placemakers.com/how-we-teach/codes-study/" TargetMode="External"/><Relationship Id="rId11" Type="http://schemas.openxmlformats.org/officeDocument/2006/relationships/drawing" Target="../drawings/drawing6.xml"/><Relationship Id="rId5" Type="http://schemas.openxmlformats.org/officeDocument/2006/relationships/hyperlink" Target="https://www.transit.dot.gov/ntd/data-product/ts11-total-funding-time-series-0" TargetMode="External"/><Relationship Id="rId10" Type="http://schemas.openxmlformats.org/officeDocument/2006/relationships/printerSettings" Target="../printerSettings/printerSettings21.bin"/><Relationship Id="rId4" Type="http://schemas.openxmlformats.org/officeDocument/2006/relationships/hyperlink" Target="http://alltransit.cnt.org/metrics/" TargetMode="External"/><Relationship Id="rId9" Type="http://schemas.openxmlformats.org/officeDocument/2006/relationships/hyperlink" Target="https://www.afdc.energy.gov/data_download" TargetMode="External"/><Relationship Id="rId1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4"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V99"/>
  <sheetViews>
    <sheetView tabSelected="1" zoomScale="80" zoomScaleNormal="80" workbookViewId="0">
      <selection activeCell="B8" sqref="B8"/>
    </sheetView>
  </sheetViews>
  <sheetFormatPr defaultRowHeight="15"/>
  <cols>
    <col min="3" max="3" width="19.85546875" customWidth="1"/>
    <col min="4" max="4" width="22.42578125" customWidth="1"/>
    <col min="5" max="5" width="21.140625" customWidth="1"/>
    <col min="6" max="6" width="22.7109375" customWidth="1"/>
    <col min="7" max="7" width="15.5703125" customWidth="1"/>
    <col min="8" max="8" width="21" customWidth="1"/>
    <col min="9" max="9" width="20" customWidth="1"/>
    <col min="10" max="10" width="18.140625" customWidth="1"/>
    <col min="11" max="11" width="24.85546875" customWidth="1"/>
    <col min="12" max="12" width="22" customWidth="1"/>
    <col min="13" max="13" width="21.5703125" customWidth="1"/>
    <col min="14" max="14" width="18.28515625" customWidth="1"/>
  </cols>
  <sheetData>
    <row r="1" spans="3:4" s="80" customFormat="1"/>
    <row r="2" spans="3:4" s="80" customFormat="1"/>
    <row r="3" spans="3:4" s="80" customFormat="1"/>
    <row r="4" spans="3:4" s="80" customFormat="1"/>
    <row r="5" spans="3:4" s="80" customFormat="1"/>
    <row r="6" spans="3:4" s="80" customFormat="1"/>
    <row r="7" spans="3:4" s="80" customFormat="1"/>
    <row r="8" spans="3:4" s="80" customFormat="1" ht="31.5">
      <c r="C8" s="131" t="s">
        <v>685</v>
      </c>
      <c r="D8" s="131"/>
    </row>
    <row r="9" spans="3:4" s="80" customFormat="1">
      <c r="C9" s="80" t="s">
        <v>1021</v>
      </c>
    </row>
    <row r="10" spans="3:4" s="80" customFormat="1"/>
    <row r="11" spans="3:4" s="80" customFormat="1"/>
    <row r="12" spans="3:4" s="80" customFormat="1"/>
    <row r="13" spans="3:4" s="80" customFormat="1"/>
    <row r="14" spans="3:4" s="80" customFormat="1"/>
    <row r="15" spans="3:4" s="80" customFormat="1"/>
    <row r="16" spans="3:4" s="80" customFormat="1"/>
    <row r="17" spans="1:22" s="80" customFormat="1"/>
    <row r="18" spans="1:22" s="80" customFormat="1"/>
    <row r="19" spans="1:22" s="80" customFormat="1"/>
    <row r="20" spans="1:22" s="80" customFormat="1"/>
    <row r="21" spans="1:22" s="80" customFormat="1"/>
    <row r="22" spans="1:22" s="80" customFormat="1" hidden="1"/>
    <row r="23" spans="1:22" s="80" customFormat="1" ht="12" customHeight="1"/>
    <row r="24" spans="1:22" s="80" customFormat="1" ht="15.75" thickBot="1"/>
    <row r="25" spans="1:22" ht="15.75" thickBot="1">
      <c r="A25" s="80"/>
      <c r="B25" s="80"/>
      <c r="C25" s="202" t="s">
        <v>492</v>
      </c>
      <c r="D25" s="392"/>
      <c r="E25" s="203"/>
      <c r="F25" s="80"/>
      <c r="G25" s="80"/>
      <c r="H25" s="80"/>
      <c r="I25" s="80"/>
      <c r="J25" s="80"/>
      <c r="K25" s="80"/>
      <c r="L25" s="80"/>
      <c r="M25" s="80"/>
      <c r="N25" s="80"/>
      <c r="O25" s="80"/>
      <c r="P25" s="80"/>
      <c r="Q25" s="80"/>
      <c r="R25" s="80"/>
      <c r="S25" s="80"/>
      <c r="T25" s="80"/>
      <c r="U25" s="80"/>
      <c r="V25" s="80"/>
    </row>
    <row r="26" spans="1:22" ht="33.75" customHeight="1" thickBot="1">
      <c r="A26" s="80"/>
      <c r="B26" s="198"/>
      <c r="C26" s="199" t="s">
        <v>538</v>
      </c>
      <c r="D26" s="200" t="s">
        <v>525</v>
      </c>
      <c r="E26" s="201" t="s">
        <v>493</v>
      </c>
      <c r="F26" s="80"/>
      <c r="G26" s="80"/>
      <c r="H26" s="80"/>
      <c r="I26" s="50"/>
      <c r="J26" s="80"/>
      <c r="K26" s="132"/>
      <c r="L26" s="132"/>
      <c r="M26" s="80"/>
      <c r="N26" s="80"/>
      <c r="O26" s="80"/>
      <c r="P26" s="80"/>
      <c r="Q26" s="80"/>
      <c r="R26" s="80"/>
      <c r="S26" s="80"/>
      <c r="T26" s="80"/>
      <c r="U26" s="80"/>
      <c r="V26" s="80"/>
    </row>
    <row r="27" spans="1:22">
      <c r="A27" s="80"/>
      <c r="B27" s="80"/>
      <c r="C27" s="195"/>
      <c r="D27" s="196"/>
      <c r="E27" s="197"/>
      <c r="F27" s="80"/>
      <c r="G27" s="80"/>
      <c r="H27" s="80"/>
      <c r="I27" s="80"/>
      <c r="J27" s="80"/>
      <c r="K27" s="80"/>
      <c r="L27" s="80"/>
      <c r="M27" s="80"/>
      <c r="N27" s="80"/>
      <c r="O27" s="80"/>
      <c r="P27" s="80"/>
      <c r="Q27" s="80"/>
      <c r="R27" s="80"/>
      <c r="S27" s="80"/>
      <c r="T27" s="80"/>
      <c r="U27" s="80"/>
      <c r="V27" s="80"/>
    </row>
    <row r="28" spans="1:22" ht="15.75" thickBot="1">
      <c r="A28" s="80"/>
      <c r="B28" s="80"/>
      <c r="C28" s="184" t="s">
        <v>494</v>
      </c>
      <c r="D28" s="185" t="s">
        <v>494</v>
      </c>
      <c r="E28" s="186" t="s">
        <v>494</v>
      </c>
      <c r="F28" s="80"/>
      <c r="G28" s="80"/>
      <c r="H28" s="80"/>
      <c r="I28" s="80"/>
      <c r="J28" s="80"/>
      <c r="K28" s="80"/>
      <c r="L28" s="80"/>
      <c r="M28" s="80"/>
      <c r="N28" s="80"/>
      <c r="O28" s="80"/>
      <c r="P28" s="80"/>
      <c r="Q28" s="80"/>
      <c r="R28" s="80"/>
      <c r="S28" s="80"/>
      <c r="T28" s="80"/>
      <c r="U28" s="80"/>
      <c r="V28" s="80"/>
    </row>
    <row r="29" spans="1:22" s="80" customFormat="1">
      <c r="C29" s="133"/>
      <c r="D29" s="133"/>
      <c r="E29" s="133"/>
    </row>
    <row r="30" spans="1:22" s="80" customFormat="1"/>
    <row r="31" spans="1:22" s="80" customFormat="1"/>
    <row r="32" spans="1:22" s="80" customFormat="1">
      <c r="C32" s="80" t="s">
        <v>371</v>
      </c>
    </row>
    <row r="33" spans="4:4" s="80" customFormat="1"/>
    <row r="34" spans="4:4" s="80" customFormat="1">
      <c r="D34" s="80" t="s">
        <v>59</v>
      </c>
    </row>
    <row r="35" spans="4:4" s="80" customFormat="1">
      <c r="D35" s="80" t="s">
        <v>79</v>
      </c>
    </row>
    <row r="36" spans="4:4" s="80" customFormat="1"/>
    <row r="37" spans="4:4" s="80" customFormat="1"/>
    <row r="38" spans="4:4" s="80" customFormat="1"/>
    <row r="39" spans="4:4" s="80" customFormat="1"/>
    <row r="40" spans="4:4" s="80" customFormat="1"/>
    <row r="41" spans="4:4" s="80" customFormat="1"/>
    <row r="42" spans="4:4" s="80" customFormat="1"/>
    <row r="43" spans="4:4" s="80" customFormat="1"/>
    <row r="44" spans="4:4" s="80" customFormat="1"/>
    <row r="45" spans="4:4" s="80" customFormat="1"/>
    <row r="46" spans="4:4" s="80" customFormat="1"/>
    <row r="47" spans="4:4" s="80" customFormat="1"/>
    <row r="48" spans="4:4" s="80" customFormat="1"/>
    <row r="49" s="80" customFormat="1"/>
    <row r="50" s="80" customFormat="1"/>
    <row r="51" s="80" customFormat="1"/>
    <row r="52" s="80" customFormat="1"/>
    <row r="53" s="80" customFormat="1"/>
    <row r="54" s="80" customFormat="1"/>
    <row r="55" s="80" customFormat="1"/>
    <row r="56" s="80" customFormat="1"/>
    <row r="57" s="80" customFormat="1"/>
    <row r="58" s="80" customFormat="1"/>
    <row r="59" s="80" customFormat="1"/>
    <row r="60" s="80" customFormat="1"/>
    <row r="61" s="80" customFormat="1"/>
    <row r="62" s="80" customFormat="1"/>
    <row r="63" s="80" customFormat="1"/>
    <row r="64" s="80" customFormat="1"/>
    <row r="65" spans="3:3" s="80" customFormat="1"/>
    <row r="66" spans="3:3" s="80" customFormat="1"/>
    <row r="67" spans="3:3" s="80" customFormat="1">
      <c r="C67" s="82" t="s">
        <v>539</v>
      </c>
    </row>
    <row r="68" spans="3:3" s="80" customFormat="1"/>
    <row r="69" spans="3:3" s="80" customFormat="1"/>
    <row r="70" spans="3:3" s="80" customFormat="1"/>
    <row r="71" spans="3:3" s="80" customFormat="1"/>
    <row r="72" spans="3:3" s="80" customFormat="1"/>
    <row r="73" spans="3:3" s="80" customFormat="1"/>
    <row r="74" spans="3:3" s="80" customFormat="1"/>
    <row r="75" spans="3:3" s="80" customFormat="1"/>
    <row r="76" spans="3:3" s="80" customFormat="1"/>
    <row r="77" spans="3:3" s="80" customFormat="1"/>
    <row r="78" spans="3:3" s="80" customFormat="1"/>
    <row r="79" spans="3:3" s="80" customFormat="1"/>
    <row r="80" spans="3:3" s="80" customFormat="1"/>
    <row r="81" s="80" customFormat="1"/>
    <row r="82" s="80" customFormat="1"/>
    <row r="83" s="80" customFormat="1"/>
    <row r="84" s="80" customFormat="1"/>
    <row r="85" s="80" customFormat="1"/>
    <row r="86" s="80" customFormat="1"/>
    <row r="87" s="80" customFormat="1"/>
    <row r="88" s="80" customFormat="1"/>
    <row r="89" s="80" customFormat="1"/>
    <row r="90" s="80" customFormat="1"/>
    <row r="91" s="80" customFormat="1"/>
    <row r="92" s="80" customFormat="1"/>
    <row r="93" s="80" customFormat="1"/>
    <row r="94" s="80" customFormat="1"/>
    <row r="95" s="80" customFormat="1"/>
    <row r="96" s="80" customFormat="1"/>
    <row r="97" s="80" customFormat="1"/>
    <row r="98" s="80" customFormat="1"/>
    <row r="99" s="80" customFormat="1"/>
  </sheetData>
  <sheetProtection algorithmName="SHA-512" hashValue="fpK82RcFaHcGsGl10GB0rcVJDSG3TiPjDA/o/h/rlzSFj+yrxjeNoIpf1Xvq8ig+8xb9GUKaAMdchwzTMu37mQ==" saltValue="icsDaRWb5FqRTm6u5oRcOw==" spinCount="100000" sheet="1" objects="1" scenarios="1"/>
  <customSheetViews>
    <customSheetView guid="{52A26A5D-FD00-480B-943F-DB06B537D6D8}" scale="90" topLeftCell="A19">
      <selection activeCell="C65" sqref="C65"/>
      <pageMargins left="0.7" right="0.7" top="0.75" bottom="0.75" header="0.3" footer="0.3"/>
      <pageSetup scale="51" orientation="portrait" r:id="rId1"/>
    </customSheetView>
    <customSheetView guid="{EF22FA0B-F747-41C1-93DE-56651BBC6020}" scale="90" topLeftCell="A40">
      <selection activeCell="D22" sqref="D22"/>
      <pageMargins left="0.7" right="0.7" top="0.75" bottom="0.75" header="0.3" footer="0.3"/>
      <pageSetup scale="51" orientation="portrait" r:id="rId2"/>
    </customSheetView>
  </customSheetViews>
  <hyperlinks>
    <hyperlink ref="C28" r:id="rId3"/>
    <hyperlink ref="E28" r:id="rId4"/>
    <hyperlink ref="D28" r:id="rId5"/>
  </hyperlinks>
  <pageMargins left="0.7" right="0.7" top="0.75" bottom="0.75" header="0.3" footer="0.3"/>
  <pageSetup scale="51" orientation="portrait" r:id="rId6"/>
  <drawing r:id="rId7"/>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outlinePr summaryBelow="0" summaryRight="0"/>
  </sheetPr>
  <dimension ref="A1:AU117"/>
  <sheetViews>
    <sheetView zoomScale="80" zoomScaleNormal="80" workbookViewId="0">
      <selection activeCell="C3" sqref="C3"/>
    </sheetView>
  </sheetViews>
  <sheetFormatPr defaultColWidth="9.140625" defaultRowHeight="15" outlineLevelRow="1"/>
  <cols>
    <col min="1" max="1" width="49.5703125" style="2" customWidth="1"/>
    <col min="2" max="2" width="65.85546875" style="2" customWidth="1"/>
    <col min="3" max="3" width="59.140625" style="2" customWidth="1"/>
    <col min="4" max="4" width="71" style="2" customWidth="1"/>
    <col min="5" max="5" width="22.28515625" style="2" customWidth="1"/>
    <col min="6" max="6" width="22.140625" style="2" customWidth="1"/>
    <col min="7" max="7" width="37.7109375" style="5" customWidth="1"/>
    <col min="8" max="9" width="11" style="2" hidden="1" customWidth="1"/>
    <col min="10" max="10" width="16.7109375" style="2" hidden="1" customWidth="1"/>
    <col min="11" max="11" width="20" style="2" hidden="1" customWidth="1"/>
    <col min="12" max="12" width="16" style="2" hidden="1" customWidth="1"/>
    <col min="13" max="13" width="9.140625" style="2" hidden="1" customWidth="1"/>
    <col min="14" max="14" width="31.7109375" style="2" hidden="1" customWidth="1"/>
    <col min="15" max="15" width="58.42578125" style="2" hidden="1" customWidth="1"/>
    <col min="16" max="16" width="17.140625" style="2" customWidth="1"/>
    <col min="17" max="16384" width="9.140625" style="2"/>
  </cols>
  <sheetData>
    <row r="1" spans="1:37" ht="26.25" customHeight="1" thickBot="1">
      <c r="A1" s="394" t="s">
        <v>481</v>
      </c>
      <c r="B1" s="395"/>
      <c r="C1" s="396"/>
      <c r="D1" s="395"/>
      <c r="E1" s="396"/>
      <c r="F1" s="397"/>
      <c r="G1" s="50"/>
      <c r="H1" s="50"/>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row>
    <row r="2" spans="1:37" s="50" customFormat="1" ht="25.5" customHeight="1" thickBot="1">
      <c r="C2" s="49"/>
      <c r="D2" s="49"/>
      <c r="E2" s="49"/>
      <c r="F2" s="49"/>
    </row>
    <row r="3" spans="1:37" ht="27.2" customHeight="1" thickBot="1">
      <c r="A3" s="68" t="s">
        <v>468</v>
      </c>
      <c r="B3" s="68" t="str">
        <f>K29   &amp; " of " &amp; 10 &amp; " points"</f>
        <v>0 of 10 points</v>
      </c>
      <c r="C3" s="49"/>
      <c r="D3" s="49"/>
      <c r="E3" s="49"/>
      <c r="F3" s="49"/>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row>
    <row r="4" spans="1:37" s="5" customFormat="1" ht="21">
      <c r="A4" s="290" t="s">
        <v>834</v>
      </c>
      <c r="B4" s="323" t="str">
        <f>K26   &amp; " of 4.5 "</f>
        <v xml:space="preserve">0 of 4.5 </v>
      </c>
      <c r="C4" s="53"/>
      <c r="D4" s="52"/>
      <c r="E4" s="49"/>
      <c r="F4" s="49"/>
      <c r="G4" s="50"/>
      <c r="H4" s="50"/>
      <c r="I4" s="50"/>
      <c r="J4" s="50"/>
      <c r="K4" s="50"/>
      <c r="L4" s="50"/>
      <c r="M4" s="50"/>
      <c r="N4" s="50"/>
      <c r="O4" s="50"/>
      <c r="P4" s="50"/>
      <c r="Q4" s="50"/>
      <c r="R4" s="50"/>
      <c r="S4" s="50"/>
      <c r="T4" s="50"/>
      <c r="U4" s="50"/>
      <c r="V4" s="50"/>
      <c r="W4" s="50"/>
      <c r="X4" s="50"/>
      <c r="Y4" s="50"/>
      <c r="Z4" s="50"/>
      <c r="AA4" s="50"/>
      <c r="AB4" s="50"/>
      <c r="AC4" s="50"/>
      <c r="AD4" s="50"/>
      <c r="AE4" s="50"/>
      <c r="AF4" s="50"/>
      <c r="AG4" s="50"/>
      <c r="AH4" s="50"/>
      <c r="AI4" s="50"/>
      <c r="AJ4" s="50"/>
      <c r="AK4" s="50"/>
    </row>
    <row r="5" spans="1:37" s="50" customFormat="1" ht="21">
      <c r="A5" s="87" t="s">
        <v>686</v>
      </c>
      <c r="B5" s="167" t="str">
        <f>SUM($E$35:$E$40)   &amp; " of " &amp; 3</f>
        <v>0 of 3</v>
      </c>
      <c r="C5" s="53"/>
      <c r="D5" s="52"/>
      <c r="E5" s="49"/>
      <c r="F5" s="49"/>
    </row>
    <row r="6" spans="1:37" s="50" customFormat="1" ht="21.75" thickBot="1">
      <c r="A6" s="88" t="s">
        <v>473</v>
      </c>
      <c r="B6" s="324" t="str">
        <f>SUM($E$44:$E$46)   &amp; " of " &amp; 2.5</f>
        <v>0 of 2.5</v>
      </c>
      <c r="C6" s="53"/>
      <c r="D6" s="49"/>
      <c r="E6" s="49"/>
      <c r="F6" s="49"/>
    </row>
    <row r="7" spans="1:37" s="5" customFormat="1" ht="21.75" thickBot="1">
      <c r="A7" s="53"/>
      <c r="B7" s="50"/>
      <c r="C7" s="53"/>
      <c r="D7" s="49"/>
      <c r="E7" s="49"/>
      <c r="F7" s="49"/>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row>
    <row r="8" spans="1:37" ht="32.25" customHeight="1" outlineLevel="1" thickBot="1">
      <c r="A8" s="50"/>
      <c r="B8" s="401" t="s">
        <v>496</v>
      </c>
      <c r="C8" s="402"/>
      <c r="D8" s="403"/>
      <c r="E8" s="18" t="s">
        <v>511</v>
      </c>
      <c r="F8" s="50"/>
      <c r="G8" s="50"/>
      <c r="H8" s="50"/>
      <c r="I8" s="50"/>
      <c r="J8" s="50"/>
      <c r="K8" s="50"/>
      <c r="L8" s="50"/>
      <c r="M8" s="50"/>
      <c r="N8" s="50"/>
      <c r="O8" s="50"/>
      <c r="P8" s="50"/>
      <c r="Q8" s="50"/>
      <c r="R8" s="50"/>
      <c r="S8" s="50"/>
      <c r="T8" s="50"/>
      <c r="U8" s="50"/>
      <c r="V8" s="50"/>
      <c r="W8" s="50"/>
      <c r="X8" s="50"/>
      <c r="Y8" s="50"/>
      <c r="Z8" s="50"/>
      <c r="AA8" s="50"/>
      <c r="AB8" s="50"/>
      <c r="AC8" s="50"/>
      <c r="AD8" s="50"/>
      <c r="AE8" s="50"/>
      <c r="AF8" s="50"/>
      <c r="AG8" s="50"/>
      <c r="AH8" s="50"/>
      <c r="AI8" s="50"/>
      <c r="AJ8" s="50"/>
      <c r="AK8" s="50"/>
    </row>
    <row r="9" spans="1:37" ht="48" customHeight="1" outlineLevel="1" thickBot="1">
      <c r="A9" s="50"/>
      <c r="B9" s="404" t="s">
        <v>831</v>
      </c>
      <c r="C9" s="405"/>
      <c r="D9" s="264"/>
      <c r="E9" s="265" t="s">
        <v>505</v>
      </c>
      <c r="F9" s="50"/>
      <c r="G9" s="50"/>
      <c r="H9" s="50"/>
      <c r="I9" s="50"/>
      <c r="J9" s="50"/>
      <c r="K9" s="259"/>
      <c r="L9" s="393" t="s">
        <v>1061</v>
      </c>
      <c r="M9" s="393"/>
      <c r="N9" s="393"/>
      <c r="O9" s="393"/>
      <c r="P9" s="50"/>
      <c r="Q9" s="50"/>
      <c r="R9" s="50"/>
      <c r="S9" s="50"/>
      <c r="T9" s="50"/>
      <c r="U9" s="50"/>
      <c r="V9" s="50"/>
      <c r="W9" s="50"/>
      <c r="X9" s="50"/>
      <c r="Y9" s="50"/>
      <c r="Z9" s="50"/>
      <c r="AA9" s="50"/>
      <c r="AB9" s="50"/>
      <c r="AC9" s="50"/>
      <c r="AD9" s="50"/>
      <c r="AE9" s="50"/>
      <c r="AF9" s="50"/>
      <c r="AG9" s="50"/>
      <c r="AH9" s="50"/>
      <c r="AI9" s="50"/>
      <c r="AJ9" s="50"/>
      <c r="AK9" s="50"/>
    </row>
    <row r="10" spans="1:37" ht="15.75" hidden="1" customHeight="1" outlineLevel="1" thickBot="1">
      <c r="A10" s="50"/>
      <c r="B10" s="50"/>
      <c r="C10" s="50"/>
      <c r="D10" s="50"/>
      <c r="E10" s="50"/>
      <c r="F10" s="50"/>
      <c r="G10" s="50"/>
      <c r="H10" s="50"/>
      <c r="I10" s="50"/>
      <c r="J10" s="50"/>
      <c r="K10" s="259" t="s">
        <v>816</v>
      </c>
      <c r="L10" s="50" t="s">
        <v>817</v>
      </c>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row>
    <row r="11" spans="1:37" ht="48" customHeight="1" outlineLevel="1">
      <c r="A11" s="50"/>
      <c r="B11" s="308" t="s">
        <v>11</v>
      </c>
      <c r="C11" s="309" t="s">
        <v>812</v>
      </c>
      <c r="D11" s="310" t="s">
        <v>813</v>
      </c>
      <c r="E11" s="18" t="s">
        <v>511</v>
      </c>
      <c r="F11" s="50"/>
      <c r="G11" s="50"/>
      <c r="H11" s="50"/>
      <c r="I11" s="50"/>
      <c r="J11" s="50"/>
      <c r="K11" s="259" t="s">
        <v>814</v>
      </c>
      <c r="L11" s="315" t="e">
        <f>((EE_Current_emissions-Emissions_energy_use_in_above_year)/Emissions_energy_use_in_above_year)</f>
        <v>#DIV/0!</v>
      </c>
      <c r="M11" s="50"/>
      <c r="N11" s="259" t="s">
        <v>1059</v>
      </c>
      <c r="O11" s="315" t="e">
        <f>((EE_Total_percent_change/(EE_recent_year_of_emissions-Goal_adoption_year_or_most_recent_year_of_available_data)))</f>
        <v>#DIV/0!</v>
      </c>
      <c r="P11" s="50"/>
      <c r="Q11" s="50"/>
      <c r="R11" s="50"/>
      <c r="S11" s="50"/>
      <c r="T11" s="50"/>
      <c r="U11" s="50"/>
      <c r="V11" s="50"/>
      <c r="W11" s="50"/>
      <c r="X11" s="50"/>
      <c r="Y11" s="50"/>
      <c r="Z11" s="50"/>
      <c r="AA11" s="50"/>
      <c r="AB11" s="50"/>
      <c r="AC11" s="50"/>
      <c r="AD11" s="50"/>
      <c r="AE11" s="50"/>
      <c r="AF11" s="50"/>
      <c r="AG11" s="50"/>
      <c r="AH11" s="50"/>
      <c r="AI11" s="50"/>
      <c r="AJ11" s="50"/>
      <c r="AK11" s="50"/>
    </row>
    <row r="12" spans="1:37" ht="31.5" customHeight="1" outlineLevel="1">
      <c r="A12" s="50"/>
      <c r="B12" s="311" t="s">
        <v>811</v>
      </c>
      <c r="C12" s="313"/>
      <c r="D12" s="313"/>
      <c r="E12" s="72" t="s">
        <v>505</v>
      </c>
      <c r="F12" s="50"/>
      <c r="G12" s="50"/>
      <c r="H12" s="50"/>
      <c r="I12" s="50"/>
      <c r="J12" s="50"/>
      <c r="K12" s="259" t="s">
        <v>815</v>
      </c>
      <c r="L12" s="343" t="e">
        <f>((GHG_emissions_D18-GHG_adoptionyear_emissions)/GHG_adoptionyear_emissions)</f>
        <v>#DIV/0!</v>
      </c>
      <c r="M12" s="50"/>
      <c r="N12" s="259" t="s">
        <v>1060</v>
      </c>
      <c r="O12" s="339" t="e">
        <f>((GHG_Total_percent_change/(GHG_recent_year-GHG_Yearofadoption)))</f>
        <v>#DIV/0!</v>
      </c>
      <c r="P12" s="50"/>
      <c r="Q12" s="50"/>
      <c r="R12" s="50"/>
      <c r="S12" s="50"/>
      <c r="T12" s="50"/>
      <c r="U12" s="50"/>
      <c r="V12" s="50"/>
      <c r="W12" s="50"/>
      <c r="X12" s="50"/>
      <c r="Y12" s="50"/>
      <c r="Z12" s="50"/>
      <c r="AA12" s="50"/>
      <c r="AB12" s="50"/>
      <c r="AC12" s="50"/>
      <c r="AD12" s="50"/>
      <c r="AE12" s="50"/>
      <c r="AF12" s="50"/>
      <c r="AG12" s="50"/>
      <c r="AH12" s="50"/>
      <c r="AI12" s="50"/>
      <c r="AJ12" s="50"/>
      <c r="AK12" s="50"/>
    </row>
    <row r="13" spans="1:37" ht="37.5" customHeight="1" outlineLevel="1">
      <c r="A13" s="50"/>
      <c r="B13" s="311" t="s">
        <v>846</v>
      </c>
      <c r="C13" s="314"/>
      <c r="D13" s="314"/>
      <c r="E13" s="72" t="s">
        <v>505</v>
      </c>
      <c r="F13" s="50"/>
      <c r="G13" s="50"/>
      <c r="H13" s="50"/>
      <c r="I13" s="50"/>
      <c r="J13" s="50"/>
      <c r="K13" s="259"/>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row>
    <row r="14" spans="1:37" ht="42" customHeight="1" outlineLevel="1">
      <c r="A14" s="50"/>
      <c r="B14" s="311" t="s">
        <v>853</v>
      </c>
      <c r="C14" s="312"/>
      <c r="D14" s="312"/>
      <c r="E14" s="72" t="s">
        <v>505</v>
      </c>
      <c r="F14" s="50"/>
      <c r="G14" s="50"/>
      <c r="H14" s="50"/>
      <c r="I14" s="50"/>
      <c r="J14" s="50"/>
      <c r="K14" s="259"/>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row>
    <row r="15" spans="1:37" ht="45.2" customHeight="1" outlineLevel="1">
      <c r="A15" s="50"/>
      <c r="B15" s="311" t="s">
        <v>847</v>
      </c>
      <c r="C15" s="313"/>
      <c r="D15" s="313"/>
      <c r="E15" s="72" t="s">
        <v>505</v>
      </c>
      <c r="F15" s="50"/>
      <c r="G15" s="50"/>
      <c r="H15" s="50"/>
      <c r="I15" s="50"/>
      <c r="J15" s="50"/>
      <c r="K15" s="259"/>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row>
    <row r="16" spans="1:37" ht="46.5" customHeight="1" outlineLevel="1">
      <c r="A16" s="50"/>
      <c r="B16" s="311" t="s">
        <v>852</v>
      </c>
      <c r="C16" s="312"/>
      <c r="D16" s="312"/>
      <c r="E16" s="72" t="s">
        <v>505</v>
      </c>
      <c r="F16" s="50"/>
      <c r="G16" s="50"/>
      <c r="H16" s="50"/>
      <c r="I16" s="50"/>
      <c r="J16" s="50"/>
      <c r="K16" s="259"/>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row>
    <row r="17" spans="1:45" ht="59.25" customHeight="1" outlineLevel="1">
      <c r="A17" s="50"/>
      <c r="B17" s="311" t="s">
        <v>848</v>
      </c>
      <c r="C17" s="313"/>
      <c r="D17" s="313"/>
      <c r="E17" s="72" t="s">
        <v>505</v>
      </c>
      <c r="F17" s="50"/>
      <c r="G17" s="50"/>
      <c r="H17" s="50"/>
      <c r="I17" s="50"/>
      <c r="J17" s="50"/>
      <c r="K17" s="259"/>
      <c r="L17" s="50"/>
      <c r="M17" s="50"/>
      <c r="N17" s="50"/>
      <c r="O17" s="50"/>
      <c r="P17" s="50"/>
      <c r="Q17" s="50"/>
      <c r="R17" s="50"/>
      <c r="S17" s="50"/>
      <c r="T17" s="50"/>
      <c r="U17" s="50"/>
      <c r="V17" s="50"/>
      <c r="W17" s="50"/>
      <c r="X17" s="50"/>
      <c r="Y17" s="50"/>
      <c r="Z17" s="50"/>
      <c r="AA17" s="50"/>
      <c r="AB17" s="50"/>
      <c r="AC17" s="50"/>
      <c r="AD17" s="50"/>
      <c r="AE17" s="50"/>
      <c r="AF17" s="50"/>
      <c r="AG17" s="50"/>
      <c r="AH17" s="50"/>
      <c r="AI17" s="50"/>
      <c r="AJ17" s="50"/>
      <c r="AK17" s="50"/>
    </row>
    <row r="18" spans="1:45" ht="48" customHeight="1" outlineLevel="1">
      <c r="A18" s="50"/>
      <c r="B18" s="311" t="s">
        <v>851</v>
      </c>
      <c r="C18" s="312"/>
      <c r="D18" s="312"/>
      <c r="E18" s="72" t="s">
        <v>505</v>
      </c>
      <c r="F18" s="50"/>
      <c r="G18" s="50"/>
      <c r="H18" s="50"/>
      <c r="I18" s="50"/>
      <c r="J18" s="50"/>
      <c r="K18" s="259"/>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row>
    <row r="19" spans="1:45" ht="30" customHeight="1" outlineLevel="1" thickBot="1">
      <c r="A19" s="44" t="s">
        <v>838</v>
      </c>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row>
    <row r="20" spans="1:45" ht="30.75" customHeight="1" outlineLevel="1">
      <c r="A20" s="214" t="s">
        <v>58</v>
      </c>
      <c r="B20" s="215" t="s">
        <v>11</v>
      </c>
      <c r="C20" s="215" t="s">
        <v>449</v>
      </c>
      <c r="D20" s="215" t="s">
        <v>527</v>
      </c>
      <c r="E20" s="215" t="s">
        <v>1</v>
      </c>
      <c r="F20" s="145" t="s">
        <v>511</v>
      </c>
      <c r="G20" s="50"/>
      <c r="H20" s="50"/>
      <c r="I20" s="50"/>
      <c r="J20" s="50"/>
      <c r="K20" s="50"/>
      <c r="L20" s="306"/>
      <c r="M20" s="50"/>
      <c r="N20" s="50"/>
      <c r="O20" s="50"/>
      <c r="P20" s="50"/>
      <c r="Q20" s="50"/>
      <c r="R20" s="50"/>
      <c r="S20" s="50"/>
      <c r="T20" s="50"/>
      <c r="U20" s="50"/>
      <c r="V20" s="50"/>
      <c r="W20" s="50"/>
      <c r="X20" s="50"/>
      <c r="Y20" s="50"/>
      <c r="Z20" s="50"/>
      <c r="AA20" s="50"/>
      <c r="AB20" s="50"/>
      <c r="AC20" s="50"/>
      <c r="AD20" s="50"/>
      <c r="AE20" s="50"/>
      <c r="AF20" s="50"/>
      <c r="AG20" s="50"/>
      <c r="AH20" s="50"/>
      <c r="AI20" s="50"/>
      <c r="AJ20" s="50"/>
      <c r="AK20" s="50"/>
    </row>
    <row r="21" spans="1:45" ht="33.200000000000003" customHeight="1" outlineLevel="1">
      <c r="A21" s="254" t="s">
        <v>691</v>
      </c>
      <c r="B21" s="130" t="str">
        <f>IF(OR(D9="Energy efficiency goal",D9="Both"),"Is your city's energy efficiency goal formally adopted across municipal government operations?","Not applicable")</f>
        <v>Not applicable</v>
      </c>
      <c r="C21" s="32"/>
      <c r="D21" s="29"/>
      <c r="E21" s="165" t="str">
        <f>IF(D21=B78,2,IF(D21=C78,1,IF(D21=D78,0.5,"")))</f>
        <v/>
      </c>
      <c r="F21" s="72" t="s">
        <v>505</v>
      </c>
      <c r="G21" s="50"/>
      <c r="H21" s="50"/>
      <c r="I21" s="50"/>
      <c r="J21" s="50" t="s">
        <v>820</v>
      </c>
      <c r="K21" s="50">
        <f>SUM(E21:E23)</f>
        <v>0</v>
      </c>
      <c r="L21" s="307"/>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row>
    <row r="22" spans="1:45" ht="47.25" customHeight="1" outlineLevel="1">
      <c r="A22" s="141" t="s">
        <v>597</v>
      </c>
      <c r="B22" s="206" t="str">
        <f>IF(OR(D9="Energy efficiency goal",D9="Both"),"What are the average annual energy savings required to meet the goal?","Not applicable")</f>
        <v>Not applicable</v>
      </c>
      <c r="C22" s="353" t="str">
        <f>IF(AND(Nearest_target_year="",Reduction_target="",Baseline_emissions_energy_use="",Goal_adoption_year_or_most_recent_year_of_available_data="",Emissions_energy_use_in_above_year=""),"",(1-(((1-Reduction_target)*Baseline_emissions_energy_use)/Emissions_energy_use_in_above_year))/(Nearest_target_year-Goal_adoption_year_or_most_recent_year_of_available_data))</f>
        <v/>
      </c>
      <c r="D22" s="29"/>
      <c r="E22" s="165" t="str">
        <f>IF(D22=B79,1,IF(D22=C79,0.5,IF(D22=D79,0,"")))</f>
        <v/>
      </c>
      <c r="F22" s="72" t="s">
        <v>505</v>
      </c>
      <c r="G22" s="50"/>
      <c r="H22" s="50"/>
      <c r="I22" s="50"/>
      <c r="J22" s="50" t="s">
        <v>821</v>
      </c>
      <c r="K22" s="116">
        <f>SUM(E28:E30)</f>
        <v>0</v>
      </c>
      <c r="L22" s="50"/>
      <c r="M22" s="50"/>
      <c r="N22" s="50"/>
      <c r="O22" s="50"/>
      <c r="P22" s="305"/>
      <c r="Q22" s="50"/>
      <c r="R22" s="50"/>
      <c r="S22" s="50"/>
      <c r="T22" s="50"/>
      <c r="U22" s="50"/>
      <c r="V22" s="50"/>
      <c r="W22" s="50"/>
      <c r="X22" s="50"/>
      <c r="Y22" s="50"/>
      <c r="Z22" s="50"/>
      <c r="AA22" s="50"/>
      <c r="AB22" s="50"/>
      <c r="AC22" s="50"/>
      <c r="AD22" s="50"/>
      <c r="AE22" s="50"/>
      <c r="AF22" s="50"/>
      <c r="AG22" s="50"/>
      <c r="AH22" s="50"/>
      <c r="AI22" s="50"/>
      <c r="AJ22" s="50"/>
      <c r="AK22" s="50"/>
    </row>
    <row r="23" spans="1:45" ht="55.5" customHeight="1" outlineLevel="1">
      <c r="A23" s="205" t="s">
        <v>598</v>
      </c>
      <c r="B23" s="206" t="str">
        <f>IF(OR(D9="Energy efficiency goal",D9="Both"),"If the local government has adopted an energy efficiency  target for city operations, is it on track to achieve it?","Not applicable")</f>
        <v>Not applicable</v>
      </c>
      <c r="C23" s="353" t="str">
        <f>IF(AND(Nearest_target_year="",Goal_adoption_year_or_most_recent_year_of_available_data="",EE_recent_year_of_emissions=""),"",((O11*(Nearest_target_year-EE_recent_year_of_emissions)+EE_Total_percent_change)*Emissions_energy_use_in_above_year)/Baseline_emissions_energy_use*-1)</f>
        <v/>
      </c>
      <c r="D23" s="208"/>
      <c r="E23" s="209" t="str">
        <f>IF(D23=B80,1,IF(D23=C80,0.5,IF(D23=D80,0,"")))</f>
        <v/>
      </c>
      <c r="F23" s="92" t="s">
        <v>505</v>
      </c>
      <c r="G23" s="50"/>
      <c r="H23" s="50"/>
      <c r="I23" s="50"/>
      <c r="J23" s="50" t="s">
        <v>822</v>
      </c>
      <c r="K23" s="50">
        <f>IF(K21&gt;K22,K21,K22)</f>
        <v>0</v>
      </c>
      <c r="L23" s="390" t="s">
        <v>823</v>
      </c>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50"/>
      <c r="AL23" s="50"/>
      <c r="AM23" s="50"/>
      <c r="AN23" s="50"/>
      <c r="AO23" s="50"/>
      <c r="AP23" s="50"/>
      <c r="AQ23" s="50"/>
      <c r="AR23" s="50"/>
      <c r="AS23" s="50"/>
    </row>
    <row r="24" spans="1:45" s="127" customFormat="1" ht="56.25" customHeight="1" outlineLevel="1">
      <c r="A24" s="66" t="s">
        <v>451</v>
      </c>
      <c r="B24" s="130" t="str">
        <f>IF(OR(D9="Energy efficiency goal",D9="Both"),"Does the local government publicly report its progress toward energy efficiency reduction goals/efforts on an annual basis?","Not applicable")</f>
        <v>Not applicable</v>
      </c>
      <c r="C24" s="32"/>
      <c r="D24" s="30"/>
      <c r="E24" s="166" t="str">
        <f>IF(D24=B81,0.5,IF(D24=C81,0,""))</f>
        <v/>
      </c>
      <c r="F24" s="72" t="s">
        <v>505</v>
      </c>
      <c r="G24" s="50"/>
      <c r="H24" s="50"/>
      <c r="I24" s="50"/>
      <c r="J24" s="50" t="s">
        <v>823</v>
      </c>
      <c r="K24" s="50">
        <f>IF(SUM(E24,E31)&gt;0.5,0.5,SUM(E24,E31))</f>
        <v>0</v>
      </c>
      <c r="L24" s="391" t="str">
        <f>IF(AND(E24="",E31=""),"",K24)</f>
        <v/>
      </c>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c r="AL24" s="50"/>
      <c r="AM24" s="50"/>
      <c r="AN24" s="50"/>
      <c r="AO24" s="50"/>
      <c r="AP24" s="50"/>
      <c r="AQ24" s="50"/>
      <c r="AR24" s="50"/>
      <c r="AS24" s="50"/>
    </row>
    <row r="25" spans="1:45" s="50" customFormat="1" outlineLevel="1">
      <c r="A25" s="57"/>
      <c r="B25" s="58"/>
      <c r="C25" s="54"/>
      <c r="D25" s="55"/>
      <c r="E25" s="56"/>
      <c r="F25" s="56"/>
    </row>
    <row r="26" spans="1:45" s="50" customFormat="1" ht="21.75" outlineLevel="1" thickBot="1">
      <c r="A26" s="44" t="s">
        <v>594</v>
      </c>
      <c r="B26" s="58"/>
      <c r="C26" s="54"/>
      <c r="D26" s="55"/>
      <c r="E26" s="56"/>
      <c r="F26" s="56"/>
      <c r="J26" s="32" t="s">
        <v>684</v>
      </c>
      <c r="K26" s="50">
        <f>SUM(K23:K24)</f>
        <v>0</v>
      </c>
    </row>
    <row r="27" spans="1:45" s="50" customFormat="1" ht="26.25" outlineLevel="1">
      <c r="A27" s="214" t="s">
        <v>58</v>
      </c>
      <c r="B27" s="215" t="s">
        <v>11</v>
      </c>
      <c r="C27" s="215" t="s">
        <v>449</v>
      </c>
      <c r="D27" s="215" t="s">
        <v>527</v>
      </c>
      <c r="E27" s="215" t="s">
        <v>1</v>
      </c>
      <c r="F27" s="145" t="s">
        <v>511</v>
      </c>
      <c r="J27" s="50" t="s">
        <v>891</v>
      </c>
      <c r="K27" s="50">
        <f>SUM(E35:E40)</f>
        <v>0</v>
      </c>
    </row>
    <row r="28" spans="1:45" s="50" customFormat="1" ht="59.25" customHeight="1" outlineLevel="1">
      <c r="A28" s="254" t="s">
        <v>691</v>
      </c>
      <c r="B28" s="130" t="str">
        <f>IF(OR(D9="Greenhouse gas reduction goal",D9="Both"),"Is your city's greenhouse gas reduction goal formally adopted across municipal government operations?","Not applicable")</f>
        <v>Not applicable</v>
      </c>
      <c r="C28" s="32"/>
      <c r="D28" s="29"/>
      <c r="E28" s="165" t="str">
        <f>IF(D28=B83,1.5,IF(D28=C83,1,IF(D28=D83,0.5,"")))</f>
        <v/>
      </c>
      <c r="F28" s="72" t="s">
        <v>505</v>
      </c>
      <c r="J28" s="50" t="s">
        <v>892</v>
      </c>
      <c r="K28" s="50">
        <f>SUM(E44:E46)</f>
        <v>0</v>
      </c>
    </row>
    <row r="29" spans="1:45" s="50" customFormat="1" ht="42.75" customHeight="1" outlineLevel="1">
      <c r="A29" s="254" t="s">
        <v>597</v>
      </c>
      <c r="B29" s="206" t="str">
        <f>IF(OR(D9="Energy efficiency goal",D9="Both"),"What are the average annual greenhouse gas savings required to meet the goal?","Not applicable")</f>
        <v>Not applicable</v>
      </c>
      <c r="C29" s="353" t="str">
        <f>IF(AND(GHGTargetYear="",GHGTarget_percentage="",GHG_Baseline_data="",GHG_Yearofadoption="",GHG_adoptionyear_emissions=""),"",(1-(((1-GHGTarget_percentage)*GHG_Baseline_data)/GHG_adoptionyear_emissions))/(GHGTargetYear-GHG_Yearofadoption))</f>
        <v/>
      </c>
      <c r="D29" s="29"/>
      <c r="E29" s="165" t="str">
        <f>IF(D29=B84,1,IF(D29=C84,0.5,IF(D29=D84,0,"")))</f>
        <v/>
      </c>
      <c r="F29" s="72" t="s">
        <v>505</v>
      </c>
      <c r="J29" s="50" t="s">
        <v>893</v>
      </c>
      <c r="K29" s="50">
        <f>SUM(K26:K28)</f>
        <v>0</v>
      </c>
    </row>
    <row r="30" spans="1:45" s="50" customFormat="1" ht="52.5" customHeight="1" outlineLevel="1">
      <c r="A30" s="253" t="s">
        <v>598</v>
      </c>
      <c r="B30" s="206" t="str">
        <f>B29</f>
        <v>Not applicable</v>
      </c>
      <c r="C30" s="353" t="str">
        <f>IF(AND(GHGTargetYear="",GHG_Yearofadoption="",GHG_recent_year=""),"",((O12*(GHGTargetYear-GHG_recent_year)+GHG_Total_percent_change)*GHG_adoptionyear_emissions)/GHG_Baseline_data*-1)</f>
        <v/>
      </c>
      <c r="D30" s="208"/>
      <c r="E30" s="209" t="str">
        <f>IF(D30=B85,1,IF(D30=C85,0.5,IF(D30=D85,0,"")))</f>
        <v/>
      </c>
      <c r="F30" s="92" t="s">
        <v>505</v>
      </c>
    </row>
    <row r="31" spans="1:45" s="50" customFormat="1" ht="59.25" customHeight="1" outlineLevel="1">
      <c r="A31" s="66" t="s">
        <v>451</v>
      </c>
      <c r="B31" s="130" t="str">
        <f>IF(OR(D9="Greenhouse gas reduction goal",D9="Both"),"Does the local government publicly report its progress toward greenhouse gas emissions reduction goals/efforts on an annual basis?","Not applicable")</f>
        <v>Not applicable</v>
      </c>
      <c r="C31" s="32"/>
      <c r="D31" s="30"/>
      <c r="E31" s="166" t="str">
        <f>IF(D31=B86,0.5,IF(D31=C86,0,""))</f>
        <v/>
      </c>
      <c r="F31" s="72" t="s">
        <v>505</v>
      </c>
    </row>
    <row r="32" spans="1:45" s="50" customFormat="1" outlineLevel="1">
      <c r="A32" s="57"/>
      <c r="B32" s="58"/>
      <c r="C32" s="54"/>
      <c r="D32" s="55"/>
      <c r="E32" s="56"/>
      <c r="F32" s="56"/>
    </row>
    <row r="33" spans="1:47" s="50" customFormat="1" ht="21.75" thickBot="1">
      <c r="A33" s="44" t="s">
        <v>686</v>
      </c>
      <c r="B33" s="49"/>
      <c r="C33" s="49"/>
      <c r="D33" s="49"/>
      <c r="E33" s="49"/>
      <c r="F33" s="49"/>
    </row>
    <row r="34" spans="1:47" outlineLevel="1">
      <c r="A34" s="143" t="s">
        <v>58</v>
      </c>
      <c r="B34" s="144" t="s">
        <v>11</v>
      </c>
      <c r="C34" s="144" t="s">
        <v>9</v>
      </c>
      <c r="D34" s="144" t="s">
        <v>510</v>
      </c>
      <c r="E34" s="144" t="s">
        <v>1</v>
      </c>
      <c r="F34" s="145" t="s">
        <v>511</v>
      </c>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row>
    <row r="35" spans="1:47" ht="126" customHeight="1" outlineLevel="1">
      <c r="A35" s="398" t="s">
        <v>474</v>
      </c>
      <c r="B35" s="130" t="s">
        <v>849</v>
      </c>
      <c r="C35" s="46"/>
      <c r="D35" s="29"/>
      <c r="E35" s="165" t="str">
        <f>IF(D35=B88,1,IF(D35=C88,0,""))</f>
        <v/>
      </c>
      <c r="F35" s="72" t="s">
        <v>505</v>
      </c>
      <c r="G35" s="50"/>
      <c r="H35" s="50" t="s">
        <v>474</v>
      </c>
      <c r="I35" s="50" t="str">
        <f>IF(AND(E35="",E36=""),"",SUM(E35:E36))</f>
        <v/>
      </c>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row>
    <row r="36" spans="1:47" ht="47.25" customHeight="1" outlineLevel="1">
      <c r="A36" s="400"/>
      <c r="B36" s="130" t="str">
        <f>IF(D35=B88,"Not applicable","Has your city begun significant outdoor lighting replacement and/or upgrade programs?")</f>
        <v>Has your city begun significant outdoor lighting replacement and/or upgrade programs?</v>
      </c>
      <c r="C36" s="46"/>
      <c r="D36" s="29"/>
      <c r="E36" s="165" t="str">
        <f>IF(E35=1,"Max points awarded",IF(D36=B89,0.5,IF(D36=C89,0,"")))</f>
        <v/>
      </c>
      <c r="F36" s="72" t="s">
        <v>505</v>
      </c>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row>
    <row r="37" spans="1:47" ht="54.75" customHeight="1" outlineLevel="1">
      <c r="A37" s="398" t="s">
        <v>475</v>
      </c>
      <c r="B37" s="130" t="s">
        <v>687</v>
      </c>
      <c r="C37" s="47"/>
      <c r="D37" s="30"/>
      <c r="E37" s="165" t="str">
        <f>IF(D37=B90,0.5,IF(D37=C90,0,""))</f>
        <v/>
      </c>
      <c r="F37" s="72" t="s">
        <v>505</v>
      </c>
      <c r="G37" s="79"/>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row>
    <row r="38" spans="1:47" ht="45" outlineLevel="1">
      <c r="A38" s="400"/>
      <c r="B38" s="45" t="s">
        <v>688</v>
      </c>
      <c r="C38" s="47"/>
      <c r="D38" s="31"/>
      <c r="E38" s="165" t="str">
        <f>IF(D38=B91,0.5,IF(D38=C91,0,""))</f>
        <v/>
      </c>
      <c r="F38" s="72" t="s">
        <v>505</v>
      </c>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row>
    <row r="39" spans="1:47" ht="30" outlineLevel="1">
      <c r="A39" s="398" t="s">
        <v>542</v>
      </c>
      <c r="B39" s="130" t="s">
        <v>187</v>
      </c>
      <c r="C39" s="32"/>
      <c r="D39" s="31"/>
      <c r="E39" s="163" t="str">
        <f>IF(D39=B92,0.5,IF(D39=C92,0,""))</f>
        <v/>
      </c>
      <c r="F39" s="72" t="s">
        <v>505</v>
      </c>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row>
    <row r="40" spans="1:47" ht="45.75" outlineLevel="1" thickBot="1">
      <c r="A40" s="399"/>
      <c r="B40" s="206" t="s">
        <v>541</v>
      </c>
      <c r="C40" s="207"/>
      <c r="D40" s="210"/>
      <c r="E40" s="209" t="str">
        <f>IF(D40=B93,0.5,IF(D40=C93,0,""))</f>
        <v/>
      </c>
      <c r="F40" s="72" t="s">
        <v>505</v>
      </c>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row>
    <row r="41" spans="1:47" s="211" customFormat="1" outlineLevel="1">
      <c r="B41" s="212"/>
      <c r="C41" s="212"/>
      <c r="D41" s="212"/>
      <c r="E41" s="212"/>
      <c r="F41" s="212"/>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row>
    <row r="42" spans="1:47" s="50" customFormat="1" ht="21.75" thickBot="1">
      <c r="A42" s="59" t="s">
        <v>473</v>
      </c>
      <c r="B42" s="49"/>
      <c r="C42" s="49"/>
      <c r="D42" s="49"/>
      <c r="E42" s="49"/>
      <c r="F42" s="49"/>
    </row>
    <row r="43" spans="1:47" outlineLevel="1">
      <c r="A43" s="143" t="s">
        <v>58</v>
      </c>
      <c r="B43" s="144" t="s">
        <v>11</v>
      </c>
      <c r="C43" s="144" t="s">
        <v>9</v>
      </c>
      <c r="D43" s="144" t="s">
        <v>510</v>
      </c>
      <c r="E43" s="144" t="s">
        <v>1</v>
      </c>
      <c r="F43" s="145" t="s">
        <v>511</v>
      </c>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row>
    <row r="44" spans="1:47" ht="60" customHeight="1" outlineLevel="1">
      <c r="A44" s="204" t="s">
        <v>477</v>
      </c>
      <c r="B44" s="48" t="s">
        <v>526</v>
      </c>
      <c r="C44" s="29"/>
      <c r="D44" s="29"/>
      <c r="E44" s="165" t="str">
        <f>IF(D44=B95,0.5,IF(D44=C95,0,""))</f>
        <v/>
      </c>
      <c r="F44" s="72" t="s">
        <v>505</v>
      </c>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row>
    <row r="45" spans="1:47" ht="45" outlineLevel="1">
      <c r="A45" s="141" t="s">
        <v>478</v>
      </c>
      <c r="B45" s="48" t="s">
        <v>406</v>
      </c>
      <c r="C45" s="29"/>
      <c r="D45" s="29"/>
      <c r="E45" s="166" t="str">
        <f>IF(D45="At least 75%",1,IF(D45="50–74.9%",0.5,IF(D45="0–49.9%",0,IF(D45="&lt;25%",0,""))))</f>
        <v/>
      </c>
      <c r="F45" s="72" t="s">
        <v>505</v>
      </c>
      <c r="G45" s="57"/>
      <c r="H45" s="57"/>
      <c r="I45" s="57"/>
      <c r="J45" s="57"/>
      <c r="K45" s="57"/>
      <c r="L45" s="57"/>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row>
    <row r="46" spans="1:47" ht="52.5" customHeight="1" outlineLevel="1">
      <c r="A46" s="141" t="s">
        <v>479</v>
      </c>
      <c r="B46" s="48" t="s">
        <v>692</v>
      </c>
      <c r="C46" s="32"/>
      <c r="D46" s="31"/>
      <c r="E46" s="163" t="str">
        <f>IF(D46=B97,1,IF(D46=C97,0.5,IF(D46=D97,0,"")))</f>
        <v/>
      </c>
      <c r="F46" s="72" t="s">
        <v>505</v>
      </c>
      <c r="G46" s="57"/>
      <c r="H46" s="57"/>
      <c r="I46" s="57"/>
      <c r="J46" s="57"/>
      <c r="K46" s="57"/>
      <c r="L46" s="57"/>
      <c r="M46" s="50"/>
      <c r="N46" s="50"/>
      <c r="O46" s="50"/>
      <c r="P46" s="50"/>
      <c r="Q46" s="50"/>
      <c r="R46" s="50"/>
      <c r="S46" s="50"/>
      <c r="T46" s="50"/>
      <c r="U46" s="50"/>
      <c r="V46" s="50"/>
      <c r="W46" s="50"/>
      <c r="X46" s="50"/>
      <c r="Y46" s="50"/>
      <c r="Z46" s="50"/>
      <c r="AA46" s="50"/>
      <c r="AB46" s="50"/>
      <c r="AC46" s="50"/>
      <c r="AD46" s="50"/>
      <c r="AE46" s="50"/>
      <c r="AF46" s="50"/>
      <c r="AG46" s="50"/>
      <c r="AH46" s="50"/>
      <c r="AI46" s="50"/>
      <c r="AJ46" s="50"/>
      <c r="AK46" s="50"/>
      <c r="AL46" s="50"/>
      <c r="AM46" s="50"/>
      <c r="AN46" s="50"/>
      <c r="AO46" s="50"/>
      <c r="AP46" s="50"/>
      <c r="AQ46" s="50"/>
      <c r="AR46" s="50"/>
      <c r="AS46" s="50"/>
      <c r="AT46" s="50"/>
    </row>
    <row r="47" spans="1:47" customFormat="1" ht="15.75" outlineLevel="1" thickBot="1">
      <c r="A47" s="80"/>
      <c r="B47" s="80"/>
      <c r="C47" s="80"/>
      <c r="D47" s="80"/>
      <c r="E47" s="80"/>
      <c r="F47" s="80"/>
      <c r="G47" s="57"/>
      <c r="H47" s="57"/>
      <c r="I47" s="57"/>
      <c r="J47" s="57"/>
      <c r="K47" s="57"/>
      <c r="L47" s="57"/>
      <c r="M47" s="50"/>
      <c r="N47" s="50"/>
      <c r="O47" s="50"/>
      <c r="P47" s="50"/>
      <c r="Q47" s="50"/>
      <c r="R47" s="50"/>
      <c r="S47" s="50"/>
      <c r="T47" s="50"/>
      <c r="U47" s="50"/>
      <c r="V47" s="50"/>
      <c r="W47" s="50"/>
      <c r="X47" s="50"/>
      <c r="Y47" s="50"/>
      <c r="Z47" s="50"/>
      <c r="AA47" s="50"/>
      <c r="AB47" s="50"/>
      <c r="AC47" s="50"/>
      <c r="AD47" s="50"/>
    </row>
    <row r="48" spans="1:47" customFormat="1" ht="15.75" outlineLevel="1" thickBot="1">
      <c r="A48" s="80"/>
      <c r="B48" s="80"/>
      <c r="C48" s="80"/>
      <c r="D48" s="260" t="s">
        <v>480</v>
      </c>
      <c r="E48" s="84">
        <f>K29</f>
        <v>0</v>
      </c>
      <c r="F48" s="80"/>
      <c r="G48" s="57"/>
      <c r="H48" s="57"/>
      <c r="I48" s="57"/>
      <c r="J48" s="57"/>
      <c r="K48" s="57"/>
      <c r="L48" s="57"/>
      <c r="M48" s="50"/>
      <c r="N48" s="50"/>
      <c r="O48" s="50"/>
      <c r="P48" s="50"/>
      <c r="Q48" s="50"/>
      <c r="R48" s="50"/>
      <c r="S48" s="50"/>
      <c r="T48" s="50"/>
      <c r="U48" s="50"/>
      <c r="V48" s="50"/>
      <c r="W48" s="50"/>
      <c r="X48" s="50"/>
      <c r="Y48" s="50"/>
      <c r="Z48" s="50"/>
      <c r="AA48" s="50"/>
      <c r="AB48" s="50"/>
      <c r="AC48" s="50"/>
      <c r="AD48" s="50"/>
    </row>
    <row r="49" spans="1:30" customFormat="1" outlineLevel="1">
      <c r="A49" s="281" t="s">
        <v>539</v>
      </c>
      <c r="B49" s="50"/>
      <c r="C49" s="80"/>
      <c r="D49" s="80"/>
      <c r="E49" s="80"/>
      <c r="F49" s="80"/>
      <c r="G49" s="57"/>
      <c r="H49" s="57"/>
      <c r="I49" s="57"/>
      <c r="J49" s="57"/>
      <c r="K49" s="57"/>
      <c r="L49" s="57"/>
      <c r="M49" s="50"/>
      <c r="N49" s="50"/>
      <c r="O49" s="50"/>
      <c r="P49" s="50"/>
      <c r="Q49" s="50"/>
      <c r="R49" s="50"/>
      <c r="S49" s="50"/>
      <c r="T49" s="50"/>
      <c r="U49" s="50"/>
      <c r="V49" s="50"/>
      <c r="W49" s="50"/>
      <c r="X49" s="50"/>
      <c r="Y49" s="50"/>
      <c r="Z49" s="50"/>
      <c r="AA49" s="50"/>
      <c r="AB49" s="50"/>
      <c r="AC49" s="50"/>
      <c r="AD49" s="50"/>
    </row>
    <row r="50" spans="1:30" s="5" customFormat="1" outlineLevel="1">
      <c r="A50" s="57"/>
      <c r="B50" s="58"/>
      <c r="C50" s="54"/>
      <c r="D50" s="55"/>
      <c r="E50" s="56"/>
      <c r="F50" s="56"/>
      <c r="G50" s="57"/>
      <c r="H50" s="57"/>
      <c r="I50" s="57"/>
      <c r="J50" s="57"/>
      <c r="K50" s="57"/>
      <c r="L50" s="57"/>
      <c r="M50" s="50"/>
      <c r="N50" s="50"/>
      <c r="O50" s="50"/>
      <c r="P50" s="50"/>
      <c r="Q50" s="50"/>
      <c r="R50" s="50"/>
      <c r="S50" s="50"/>
      <c r="T50" s="50"/>
      <c r="U50" s="50"/>
      <c r="V50" s="50"/>
      <c r="W50" s="50"/>
      <c r="X50" s="50"/>
      <c r="Y50" s="50"/>
      <c r="Z50" s="50"/>
      <c r="AA50" s="50"/>
      <c r="AB50" s="50"/>
      <c r="AC50" s="50"/>
      <c r="AD50" s="50"/>
    </row>
    <row r="51" spans="1:30" s="5" customFormat="1" ht="21">
      <c r="A51" s="50"/>
      <c r="B51" s="49"/>
      <c r="C51" s="49"/>
      <c r="D51" s="49"/>
      <c r="E51" s="49"/>
      <c r="F51" s="49"/>
      <c r="G51" s="57"/>
      <c r="H51" s="57"/>
      <c r="I51" s="57"/>
      <c r="J51" s="57"/>
      <c r="K51" s="57"/>
      <c r="L51" s="57"/>
      <c r="M51" s="50"/>
      <c r="N51" s="50"/>
      <c r="O51" s="50"/>
      <c r="P51" s="50"/>
      <c r="Q51" s="50"/>
      <c r="R51" s="50"/>
      <c r="S51" s="50"/>
      <c r="T51" s="50"/>
      <c r="U51" s="50"/>
      <c r="V51" s="50"/>
      <c r="W51" s="50"/>
      <c r="X51" s="50"/>
      <c r="Y51" s="50"/>
      <c r="Z51" s="50"/>
      <c r="AA51" s="50"/>
      <c r="AB51" s="50"/>
      <c r="AC51" s="50"/>
      <c r="AD51" s="50"/>
    </row>
    <row r="52" spans="1:30" s="50" customFormat="1" outlineLevel="1">
      <c r="A52" s="57"/>
      <c r="B52" s="57"/>
      <c r="C52" s="57"/>
      <c r="D52" s="57"/>
      <c r="E52" s="57"/>
      <c r="F52" s="81"/>
      <c r="G52" s="57"/>
      <c r="H52" s="57"/>
      <c r="I52" s="57"/>
      <c r="J52" s="57"/>
      <c r="K52" s="57"/>
      <c r="L52" s="57"/>
    </row>
    <row r="53" spans="1:30" s="50" customFormat="1" outlineLevel="1">
      <c r="A53" s="57"/>
      <c r="B53" s="57"/>
      <c r="C53" s="57"/>
      <c r="D53" s="57"/>
      <c r="E53" s="57"/>
      <c r="F53" s="57"/>
    </row>
    <row r="54" spans="1:30" s="50" customFormat="1" outlineLevel="1">
      <c r="A54" s="57"/>
      <c r="B54" s="57"/>
      <c r="C54" s="57"/>
      <c r="D54" s="57"/>
      <c r="E54" s="57"/>
      <c r="F54" s="57"/>
    </row>
    <row r="55" spans="1:30">
      <c r="A55" s="57" t="s">
        <v>281</v>
      </c>
      <c r="B55" s="57" t="s">
        <v>333</v>
      </c>
      <c r="C55" s="57"/>
      <c r="D55" s="57"/>
      <c r="E55" s="57"/>
      <c r="F55" s="57"/>
      <c r="G55" s="50"/>
      <c r="H55" s="50"/>
      <c r="I55" s="50"/>
      <c r="J55" s="50"/>
      <c r="K55" s="50"/>
      <c r="L55" s="50"/>
      <c r="M55" s="50"/>
      <c r="N55" s="50"/>
      <c r="O55" s="50"/>
      <c r="P55" s="50"/>
      <c r="Q55" s="50"/>
      <c r="R55" s="50"/>
      <c r="S55" s="50"/>
      <c r="T55" s="50"/>
      <c r="U55" s="50"/>
      <c r="V55" s="50"/>
      <c r="W55" s="50"/>
      <c r="X55" s="50"/>
      <c r="Y55" s="50"/>
      <c r="Z55" s="50"/>
      <c r="AA55" s="50"/>
      <c r="AB55" s="50"/>
      <c r="AC55" s="50"/>
      <c r="AD55" s="50"/>
    </row>
    <row r="56" spans="1:30" outlineLevel="1">
      <c r="A56" s="50"/>
      <c r="B56" s="50"/>
      <c r="C56" s="57"/>
      <c r="D56" s="57"/>
      <c r="E56" s="57"/>
      <c r="F56" s="57"/>
      <c r="G56" s="50"/>
      <c r="H56" s="50"/>
      <c r="I56" s="50"/>
      <c r="J56" s="50"/>
      <c r="K56" s="50"/>
      <c r="L56" s="50"/>
      <c r="M56" s="50"/>
      <c r="N56" s="50"/>
      <c r="O56" s="50"/>
      <c r="P56" s="50"/>
      <c r="Q56" s="50"/>
      <c r="R56" s="50"/>
      <c r="S56" s="50"/>
      <c r="T56" s="50"/>
      <c r="U56" s="50"/>
      <c r="V56" s="50"/>
      <c r="W56" s="50"/>
      <c r="X56" s="50"/>
      <c r="Y56" s="50"/>
      <c r="Z56" s="50"/>
      <c r="AA56" s="50"/>
      <c r="AB56" s="50"/>
      <c r="AC56" s="50"/>
      <c r="AD56" s="50"/>
    </row>
    <row r="57" spans="1:30" outlineLevel="1">
      <c r="A57" s="50"/>
      <c r="B57" s="50"/>
      <c r="C57" s="57"/>
      <c r="D57" s="57"/>
      <c r="E57" s="57"/>
      <c r="F57" s="57"/>
      <c r="G57" s="80"/>
      <c r="H57" s="50"/>
      <c r="I57" s="50"/>
      <c r="J57" s="50"/>
      <c r="K57" s="50"/>
      <c r="L57" s="50"/>
      <c r="M57" s="50"/>
      <c r="N57" s="50"/>
      <c r="O57" s="50"/>
      <c r="P57" s="50"/>
      <c r="Q57" s="50"/>
      <c r="R57" s="50"/>
      <c r="S57" s="50"/>
      <c r="T57" s="50"/>
      <c r="U57" s="50"/>
      <c r="V57" s="50"/>
      <c r="W57" s="50"/>
      <c r="X57" s="50"/>
      <c r="Y57" s="50"/>
      <c r="Z57" s="50"/>
      <c r="AA57" s="50"/>
      <c r="AB57" s="50"/>
      <c r="AC57" s="50"/>
      <c r="AD57" s="50"/>
    </row>
    <row r="58" spans="1:30" outlineLevel="1">
      <c r="A58" s="50"/>
      <c r="B58" s="50"/>
      <c r="C58" s="57"/>
      <c r="D58" s="57"/>
      <c r="E58" s="57"/>
      <c r="F58" s="57"/>
      <c r="G58" s="80"/>
      <c r="H58" s="50"/>
      <c r="I58" s="50"/>
      <c r="J58" s="50"/>
      <c r="K58" s="50"/>
      <c r="L58" s="50"/>
      <c r="M58" s="50"/>
      <c r="N58" s="50"/>
      <c r="O58" s="50"/>
      <c r="P58" s="50"/>
      <c r="Q58" s="50"/>
      <c r="R58" s="50"/>
      <c r="S58" s="50"/>
      <c r="T58" s="50"/>
      <c r="U58" s="50"/>
      <c r="V58" s="50"/>
      <c r="W58" s="50"/>
      <c r="X58" s="50"/>
      <c r="Y58" s="50"/>
      <c r="Z58" s="50"/>
      <c r="AA58" s="50"/>
      <c r="AB58" s="50"/>
      <c r="AC58" s="50"/>
      <c r="AD58" s="50"/>
    </row>
    <row r="59" spans="1:30">
      <c r="A59" s="57" t="s">
        <v>282</v>
      </c>
      <c r="B59" s="57" t="s">
        <v>332</v>
      </c>
      <c r="C59" s="57"/>
      <c r="D59" s="57"/>
      <c r="E59" s="57"/>
      <c r="F59" s="57"/>
      <c r="G59" s="50"/>
      <c r="H59" s="50"/>
      <c r="I59" s="50"/>
      <c r="J59" s="50"/>
      <c r="K59" s="50"/>
      <c r="L59" s="50"/>
      <c r="M59" s="50"/>
      <c r="N59" s="50"/>
      <c r="O59" s="50"/>
      <c r="P59" s="50"/>
      <c r="Q59" s="50"/>
      <c r="R59" s="50"/>
      <c r="S59" s="50"/>
      <c r="T59" s="50"/>
      <c r="U59" s="50"/>
      <c r="V59" s="50"/>
      <c r="W59" s="50"/>
      <c r="X59" s="50"/>
      <c r="Y59" s="50"/>
      <c r="Z59" s="50"/>
      <c r="AA59" s="50"/>
      <c r="AB59" s="50"/>
      <c r="AC59" s="50"/>
      <c r="AD59" s="50"/>
    </row>
    <row r="60" spans="1:30" outlineLevel="1">
      <c r="A60" s="50"/>
      <c r="B60" s="50"/>
      <c r="C60" s="57"/>
      <c r="D60" s="57"/>
      <c r="E60" s="57"/>
      <c r="F60" s="57"/>
      <c r="G60" s="50"/>
      <c r="H60" s="50"/>
      <c r="I60" s="50"/>
      <c r="J60" s="50"/>
      <c r="K60" s="50"/>
      <c r="L60" s="50"/>
      <c r="M60" s="50"/>
      <c r="N60" s="50"/>
      <c r="O60" s="50"/>
      <c r="P60" s="50"/>
      <c r="Q60" s="50"/>
      <c r="R60" s="50"/>
      <c r="S60" s="50"/>
      <c r="T60" s="50"/>
      <c r="U60" s="50"/>
      <c r="V60" s="50"/>
      <c r="W60" s="50"/>
      <c r="X60" s="50"/>
      <c r="Y60" s="50"/>
      <c r="Z60" s="50"/>
      <c r="AA60" s="50"/>
      <c r="AB60" s="50"/>
      <c r="AC60" s="50"/>
      <c r="AD60" s="50"/>
    </row>
    <row r="61" spans="1:30" outlineLevel="1">
      <c r="A61" s="50"/>
      <c r="B61" s="50"/>
      <c r="C61" s="57"/>
      <c r="D61" s="57"/>
      <c r="E61" s="57"/>
      <c r="F61" s="57"/>
      <c r="G61" s="50"/>
      <c r="H61" s="50"/>
      <c r="I61" s="50"/>
      <c r="J61" s="50"/>
      <c r="K61" s="50"/>
      <c r="L61" s="50"/>
      <c r="M61" s="50"/>
      <c r="N61" s="50"/>
      <c r="O61" s="50"/>
      <c r="P61" s="50"/>
      <c r="Q61" s="50"/>
      <c r="R61" s="50"/>
      <c r="S61" s="50"/>
      <c r="T61" s="50"/>
      <c r="U61" s="50"/>
      <c r="V61" s="50"/>
      <c r="W61" s="50"/>
      <c r="X61" s="50"/>
      <c r="Y61" s="50"/>
      <c r="Z61" s="50"/>
      <c r="AA61" s="50"/>
      <c r="AB61" s="50"/>
      <c r="AC61" s="50"/>
      <c r="AD61" s="50"/>
    </row>
    <row r="62" spans="1:30" outlineLevel="1">
      <c r="A62" s="50"/>
      <c r="B62" s="50"/>
      <c r="C62" s="57"/>
      <c r="D62" s="57"/>
      <c r="E62" s="57"/>
      <c r="F62" s="57"/>
      <c r="G62" s="50"/>
      <c r="H62" s="50"/>
      <c r="I62" s="50"/>
      <c r="J62" s="50"/>
      <c r="K62" s="50"/>
      <c r="L62" s="50"/>
      <c r="M62" s="50"/>
      <c r="N62" s="50"/>
      <c r="O62" s="50"/>
      <c r="P62" s="50"/>
      <c r="Q62" s="50"/>
      <c r="R62" s="50"/>
      <c r="S62" s="50"/>
      <c r="T62" s="50"/>
      <c r="U62" s="50"/>
      <c r="V62" s="50"/>
      <c r="W62" s="50"/>
      <c r="X62" s="50"/>
      <c r="Y62" s="50"/>
      <c r="Z62" s="50"/>
      <c r="AA62" s="50"/>
      <c r="AB62" s="50"/>
      <c r="AC62" s="50"/>
      <c r="AD62" s="50"/>
    </row>
    <row r="63" spans="1:30" outlineLevel="1">
      <c r="A63" s="50"/>
      <c r="B63" s="50"/>
      <c r="C63" s="57"/>
      <c r="D63" s="57"/>
      <c r="E63" s="57"/>
      <c r="F63" s="57"/>
      <c r="G63" s="50"/>
      <c r="H63" s="50"/>
      <c r="I63" s="50"/>
      <c r="J63" s="50"/>
      <c r="K63" s="50"/>
      <c r="L63" s="50"/>
      <c r="M63" s="50"/>
      <c r="N63" s="50"/>
      <c r="O63" s="50"/>
      <c r="P63" s="50"/>
      <c r="Q63" s="50"/>
      <c r="R63" s="50"/>
      <c r="S63" s="50"/>
      <c r="T63" s="50"/>
      <c r="U63" s="50"/>
      <c r="V63" s="50"/>
      <c r="W63" s="50"/>
      <c r="X63" s="50"/>
      <c r="Y63" s="50"/>
      <c r="Z63" s="50"/>
      <c r="AA63" s="50"/>
      <c r="AB63" s="50"/>
      <c r="AC63" s="50"/>
      <c r="AD63" s="50"/>
    </row>
    <row r="64" spans="1:30" outlineLevel="1">
      <c r="A64" s="50"/>
      <c r="B64" s="50"/>
      <c r="C64" s="57"/>
      <c r="D64" s="57"/>
      <c r="E64" s="57"/>
      <c r="F64" s="57"/>
      <c r="G64" s="50"/>
      <c r="H64" s="50"/>
      <c r="I64" s="50"/>
      <c r="J64" s="50"/>
      <c r="K64" s="50"/>
      <c r="L64" s="50"/>
      <c r="M64" s="50"/>
      <c r="N64" s="50"/>
      <c r="O64" s="50"/>
      <c r="P64" s="50"/>
      <c r="Q64" s="50"/>
      <c r="R64" s="50"/>
      <c r="S64" s="50"/>
      <c r="T64" s="50"/>
      <c r="U64" s="50"/>
      <c r="V64" s="50"/>
      <c r="W64" s="50"/>
      <c r="X64" s="50"/>
      <c r="Y64" s="50"/>
      <c r="Z64" s="50"/>
      <c r="AA64" s="50"/>
      <c r="AB64" s="50"/>
      <c r="AC64" s="50"/>
      <c r="AD64" s="50"/>
    </row>
    <row r="65" spans="1:30" ht="30">
      <c r="A65" s="57" t="s">
        <v>283</v>
      </c>
      <c r="B65" s="57" t="s">
        <v>334</v>
      </c>
      <c r="C65" s="57"/>
      <c r="D65" s="57"/>
      <c r="E65" s="57"/>
      <c r="F65" s="57"/>
      <c r="G65" s="50"/>
      <c r="H65" s="50"/>
      <c r="I65" s="50"/>
      <c r="J65" s="50"/>
      <c r="K65" s="50"/>
      <c r="L65" s="50"/>
      <c r="M65" s="50"/>
      <c r="N65" s="50"/>
      <c r="O65" s="50"/>
      <c r="P65" s="50"/>
      <c r="Q65" s="50"/>
      <c r="R65" s="50"/>
      <c r="S65" s="50"/>
      <c r="T65" s="50"/>
      <c r="U65" s="50"/>
      <c r="V65" s="50"/>
      <c r="W65" s="50"/>
      <c r="X65" s="50"/>
      <c r="Y65" s="50"/>
      <c r="Z65" s="50"/>
      <c r="AA65" s="50"/>
      <c r="AB65" s="50"/>
      <c r="AC65" s="50"/>
      <c r="AD65" s="50"/>
    </row>
    <row r="66" spans="1:30" outlineLevel="1">
      <c r="A66" s="50"/>
      <c r="B66" s="50"/>
      <c r="C66" s="57"/>
      <c r="D66" s="57"/>
      <c r="E66" s="57"/>
      <c r="F66" s="57"/>
      <c r="G66" s="50"/>
      <c r="H66" s="50"/>
      <c r="I66" s="50"/>
      <c r="J66" s="50"/>
      <c r="K66" s="50"/>
      <c r="L66" s="50"/>
      <c r="M66" s="50"/>
      <c r="N66" s="50"/>
      <c r="O66" s="50"/>
      <c r="P66" s="50"/>
      <c r="Q66" s="50"/>
      <c r="R66" s="50"/>
      <c r="S66" s="50"/>
      <c r="T66" s="50"/>
      <c r="U66" s="50"/>
      <c r="V66" s="50"/>
      <c r="W66" s="50"/>
      <c r="X66" s="50"/>
      <c r="Y66" s="50"/>
      <c r="Z66" s="50"/>
      <c r="AA66" s="50"/>
      <c r="AB66" s="50"/>
      <c r="AC66" s="50"/>
      <c r="AD66" s="50"/>
    </row>
    <row r="67" spans="1:30" outlineLevel="1">
      <c r="A67" s="50"/>
      <c r="B67" s="50"/>
      <c r="C67" s="57"/>
      <c r="D67" s="57"/>
      <c r="E67" s="57"/>
      <c r="F67" s="57"/>
      <c r="G67" s="50"/>
      <c r="H67" s="50"/>
      <c r="I67" s="50"/>
      <c r="J67" s="50"/>
      <c r="K67" s="50"/>
      <c r="L67" s="50"/>
      <c r="M67" s="50"/>
      <c r="N67" s="50"/>
      <c r="O67" s="50"/>
      <c r="P67" s="50"/>
      <c r="Q67" s="50"/>
      <c r="R67" s="50"/>
      <c r="S67" s="50"/>
      <c r="T67" s="50"/>
      <c r="U67" s="50"/>
      <c r="V67" s="50"/>
      <c r="W67" s="50"/>
      <c r="X67" s="50"/>
      <c r="Y67" s="50"/>
      <c r="Z67" s="50"/>
      <c r="AA67" s="50"/>
      <c r="AB67" s="50"/>
      <c r="AC67" s="50"/>
      <c r="AD67" s="50"/>
    </row>
    <row r="68" spans="1:30" outlineLevel="1">
      <c r="A68" s="50"/>
      <c r="B68" s="50"/>
      <c r="C68" s="57"/>
      <c r="D68" s="57"/>
      <c r="E68" s="57"/>
      <c r="F68" s="57"/>
      <c r="G68" s="50"/>
      <c r="H68" s="50"/>
      <c r="I68" s="50"/>
      <c r="J68" s="50"/>
      <c r="K68" s="50"/>
      <c r="L68" s="50"/>
      <c r="M68" s="50"/>
      <c r="N68" s="50"/>
      <c r="O68" s="50"/>
      <c r="P68" s="50"/>
      <c r="Q68" s="50"/>
      <c r="R68" s="50"/>
      <c r="S68" s="50"/>
      <c r="T68" s="50"/>
      <c r="U68" s="50"/>
      <c r="V68" s="50"/>
      <c r="W68" s="50"/>
      <c r="X68" s="50"/>
      <c r="Y68" s="50"/>
      <c r="Z68" s="50"/>
      <c r="AA68" s="50"/>
      <c r="AB68" s="50"/>
      <c r="AC68" s="50"/>
      <c r="AD68" s="50"/>
    </row>
    <row r="69" spans="1:30" outlineLevel="1">
      <c r="A69" s="50"/>
      <c r="B69" s="50"/>
      <c r="C69" s="57"/>
      <c r="D69" s="57"/>
      <c r="E69" s="57"/>
      <c r="F69" s="57"/>
      <c r="G69" s="50"/>
      <c r="H69" s="50"/>
      <c r="I69" s="50"/>
      <c r="J69" s="50"/>
      <c r="K69" s="50"/>
      <c r="L69" s="50"/>
      <c r="M69" s="50"/>
      <c r="N69" s="50"/>
      <c r="O69" s="50"/>
      <c r="P69" s="50"/>
      <c r="Q69" s="50"/>
      <c r="R69" s="50"/>
      <c r="S69" s="50"/>
      <c r="T69" s="50"/>
      <c r="U69" s="50"/>
      <c r="V69" s="50"/>
      <c r="W69" s="50"/>
      <c r="X69" s="50"/>
      <c r="Y69" s="50"/>
      <c r="Z69" s="50"/>
      <c r="AA69" s="50"/>
      <c r="AB69" s="50"/>
      <c r="AC69" s="50"/>
      <c r="AD69" s="50"/>
    </row>
    <row r="70" spans="1:30" outlineLevel="1">
      <c r="A70" s="50"/>
      <c r="B70" s="50"/>
      <c r="C70" s="57"/>
      <c r="D70" s="57"/>
      <c r="E70" s="57"/>
      <c r="F70" s="57"/>
      <c r="G70" s="50"/>
      <c r="H70" s="50"/>
      <c r="I70" s="50"/>
      <c r="J70" s="50"/>
      <c r="K70" s="50"/>
      <c r="L70" s="50"/>
      <c r="M70" s="50"/>
      <c r="N70" s="50"/>
      <c r="O70" s="50"/>
      <c r="P70" s="50"/>
      <c r="Q70" s="50"/>
      <c r="R70" s="50"/>
      <c r="S70" s="50"/>
      <c r="T70" s="50"/>
      <c r="U70" s="50"/>
      <c r="V70" s="50"/>
      <c r="W70" s="50"/>
      <c r="X70" s="50"/>
      <c r="Y70" s="50"/>
      <c r="Z70" s="50"/>
      <c r="AA70" s="50"/>
      <c r="AB70" s="50"/>
      <c r="AC70" s="50"/>
      <c r="AD70" s="50"/>
    </row>
    <row r="71" spans="1:30">
      <c r="A71" s="50"/>
      <c r="B71" s="50"/>
      <c r="C71" s="57"/>
      <c r="D71" s="57"/>
      <c r="E71" s="57"/>
      <c r="F71" s="57"/>
      <c r="G71" s="50"/>
      <c r="H71" s="50"/>
      <c r="I71" s="50"/>
      <c r="J71" s="50"/>
      <c r="K71" s="50"/>
      <c r="L71" s="50"/>
      <c r="M71" s="50"/>
      <c r="N71" s="50"/>
      <c r="O71" s="50"/>
      <c r="P71" s="50"/>
      <c r="Q71" s="50"/>
      <c r="R71" s="50"/>
      <c r="S71" s="50"/>
      <c r="T71" s="50"/>
      <c r="U71" s="50"/>
      <c r="V71" s="50"/>
      <c r="W71" s="50"/>
      <c r="X71" s="50"/>
      <c r="Y71" s="50"/>
      <c r="Z71" s="50"/>
      <c r="AA71" s="50"/>
      <c r="AB71" s="50"/>
      <c r="AC71" s="50"/>
      <c r="AD71" s="50"/>
    </row>
    <row r="72" spans="1:30" ht="13.9" hidden="1" customHeight="1">
      <c r="A72" s="300" t="s">
        <v>790</v>
      </c>
      <c r="B72" s="299"/>
      <c r="C72" s="301"/>
      <c r="D72" s="57"/>
      <c r="E72" s="57"/>
      <c r="F72" s="57"/>
      <c r="G72" s="50"/>
      <c r="H72" s="50"/>
      <c r="I72" s="50"/>
      <c r="J72" s="50"/>
      <c r="K72" s="50"/>
      <c r="L72" s="50"/>
      <c r="M72" s="50"/>
      <c r="N72" s="50"/>
      <c r="O72" s="50"/>
      <c r="P72" s="50"/>
      <c r="Q72" s="50"/>
      <c r="R72" s="50"/>
      <c r="S72" s="50"/>
      <c r="T72" s="50"/>
      <c r="U72" s="50"/>
      <c r="V72" s="50"/>
      <c r="W72" s="50"/>
      <c r="X72" s="50"/>
      <c r="Y72" s="50"/>
      <c r="Z72" s="50"/>
      <c r="AA72" s="50"/>
      <c r="AB72" s="50"/>
      <c r="AC72" s="50"/>
      <c r="AD72" s="50"/>
    </row>
    <row r="73" spans="1:30" hidden="1">
      <c r="A73" s="50"/>
      <c r="B73" s="50"/>
      <c r="C73" s="50"/>
      <c r="D73" s="50"/>
      <c r="E73" s="50"/>
      <c r="F73" s="50"/>
      <c r="G73" s="50"/>
      <c r="H73" s="50"/>
      <c r="I73" s="50"/>
      <c r="J73" s="50"/>
      <c r="K73" s="50"/>
      <c r="L73" s="50"/>
      <c r="M73" s="50"/>
      <c r="N73" s="50"/>
      <c r="O73" s="50"/>
      <c r="P73" s="50"/>
      <c r="Q73" s="50"/>
      <c r="R73" s="50"/>
      <c r="S73" s="50"/>
      <c r="T73" s="50"/>
      <c r="U73" s="50"/>
      <c r="V73" s="50"/>
      <c r="W73" s="50"/>
      <c r="X73" s="50"/>
      <c r="Y73" s="50"/>
      <c r="Z73" s="50"/>
      <c r="AA73" s="50"/>
      <c r="AB73" s="50"/>
      <c r="AC73" s="50"/>
      <c r="AD73" s="50"/>
    </row>
    <row r="74" spans="1:30" ht="17.25" hidden="1" customHeight="1">
      <c r="A74" s="259" t="s">
        <v>605</v>
      </c>
      <c r="B74" s="50"/>
      <c r="C74" s="50"/>
      <c r="D74" s="50"/>
      <c r="E74" s="50"/>
      <c r="F74" s="50"/>
      <c r="G74" s="50"/>
      <c r="H74" s="50"/>
      <c r="I74" s="50"/>
      <c r="J74" s="50"/>
      <c r="K74" s="50"/>
      <c r="L74" s="50"/>
      <c r="M74" s="50"/>
      <c r="N74" s="50"/>
      <c r="O74" s="50"/>
      <c r="P74" s="50"/>
      <c r="Q74" s="50"/>
      <c r="R74" s="50"/>
      <c r="S74" s="50"/>
      <c r="T74" s="50"/>
      <c r="U74" s="50"/>
      <c r="V74" s="50"/>
      <c r="W74" s="50"/>
      <c r="X74" s="50"/>
      <c r="Y74" s="50"/>
      <c r="Z74" s="50"/>
      <c r="AA74" s="50"/>
      <c r="AB74" s="50"/>
      <c r="AC74" s="50"/>
      <c r="AD74" s="50"/>
    </row>
    <row r="75" spans="1:30" hidden="1">
      <c r="A75" s="257" t="s">
        <v>604</v>
      </c>
      <c r="B75" s="257" t="s">
        <v>600</v>
      </c>
      <c r="C75" s="257" t="s">
        <v>601</v>
      </c>
      <c r="D75" s="257" t="s">
        <v>602</v>
      </c>
      <c r="E75" s="257" t="s">
        <v>603</v>
      </c>
      <c r="F75" s="50"/>
      <c r="G75" s="50"/>
      <c r="H75" s="50"/>
      <c r="I75" s="50"/>
      <c r="J75" s="50"/>
      <c r="K75" s="50"/>
      <c r="L75" s="50"/>
      <c r="M75" s="50"/>
      <c r="N75" s="50"/>
      <c r="O75" s="50"/>
      <c r="P75" s="50"/>
      <c r="Q75" s="50"/>
      <c r="R75" s="50"/>
      <c r="S75" s="50"/>
      <c r="T75" s="50"/>
      <c r="U75" s="50"/>
      <c r="V75" s="50"/>
      <c r="W75" s="50"/>
      <c r="X75" s="50"/>
      <c r="Y75" s="50"/>
      <c r="Z75" s="50"/>
      <c r="AA75" s="50"/>
      <c r="AB75" s="50"/>
      <c r="AC75" s="50"/>
      <c r="AD75" s="50"/>
    </row>
    <row r="76" spans="1:30" customFormat="1" hidden="1">
      <c r="A76" s="258" t="s">
        <v>611</v>
      </c>
      <c r="B76" s="257" t="s">
        <v>593</v>
      </c>
      <c r="C76" s="257" t="s">
        <v>594</v>
      </c>
      <c r="D76" s="257" t="s">
        <v>595</v>
      </c>
      <c r="E76" s="257" t="s">
        <v>596</v>
      </c>
      <c r="F76" s="80"/>
      <c r="G76" s="80"/>
      <c r="H76" s="80"/>
      <c r="I76" s="80"/>
      <c r="J76" s="80"/>
      <c r="K76" s="50"/>
      <c r="L76" s="50"/>
      <c r="M76" s="50"/>
      <c r="N76" s="50"/>
      <c r="O76" s="50"/>
      <c r="P76" s="50"/>
      <c r="Q76" s="50"/>
      <c r="R76" s="50"/>
      <c r="S76" s="50"/>
      <c r="T76" s="50"/>
      <c r="U76" s="50"/>
      <c r="V76" s="50"/>
      <c r="W76" s="50"/>
      <c r="X76" s="50"/>
      <c r="Y76" s="50"/>
      <c r="Z76" s="50"/>
      <c r="AA76" s="50"/>
      <c r="AB76" s="50"/>
      <c r="AC76" s="50"/>
      <c r="AD76" s="50"/>
    </row>
    <row r="77" spans="1:30" customFormat="1" hidden="1">
      <c r="A77" s="258" t="s">
        <v>593</v>
      </c>
      <c r="B77" s="257"/>
      <c r="C77" s="257"/>
      <c r="D77" s="257"/>
      <c r="E77" s="257"/>
      <c r="F77" s="80"/>
      <c r="G77" s="80"/>
      <c r="H77" s="80"/>
      <c r="I77" s="80"/>
      <c r="J77" s="80"/>
      <c r="K77" s="50"/>
      <c r="L77" s="50"/>
      <c r="M77" s="50"/>
      <c r="N77" s="50"/>
      <c r="O77" s="50"/>
      <c r="P77" s="50"/>
      <c r="Q77" s="50"/>
      <c r="R77" s="50"/>
      <c r="S77" s="50"/>
      <c r="T77" s="50"/>
      <c r="U77" s="50"/>
      <c r="V77" s="50"/>
      <c r="W77" s="50"/>
      <c r="X77" s="50"/>
      <c r="Y77" s="50"/>
      <c r="Z77" s="50"/>
      <c r="AA77" s="50"/>
      <c r="AB77" s="50"/>
      <c r="AC77" s="50"/>
      <c r="AD77" s="50"/>
    </row>
    <row r="78" spans="1:30" customFormat="1" hidden="1">
      <c r="A78" s="258" t="s">
        <v>417</v>
      </c>
      <c r="B78" s="257" t="s">
        <v>609</v>
      </c>
      <c r="C78" s="257" t="s">
        <v>606</v>
      </c>
      <c r="D78" s="257" t="s">
        <v>610</v>
      </c>
      <c r="E78" s="257"/>
      <c r="F78" s="80"/>
      <c r="G78" s="80"/>
      <c r="H78" s="80"/>
      <c r="I78" s="80"/>
      <c r="J78" s="80"/>
      <c r="K78" s="50"/>
      <c r="L78" s="50"/>
      <c r="M78" s="50"/>
      <c r="N78" s="50"/>
      <c r="O78" s="50"/>
      <c r="P78" s="50"/>
      <c r="Q78" s="50"/>
      <c r="R78" s="50"/>
      <c r="S78" s="50"/>
      <c r="T78" s="50"/>
      <c r="U78" s="50"/>
      <c r="V78" s="50"/>
      <c r="W78" s="50"/>
      <c r="X78" s="50"/>
      <c r="Y78" s="50"/>
      <c r="Z78" s="50"/>
      <c r="AA78" s="50"/>
      <c r="AB78" s="50"/>
      <c r="AC78" s="50"/>
      <c r="AD78" s="50"/>
    </row>
    <row r="79" spans="1:30" customFormat="1" hidden="1">
      <c r="A79" s="258" t="s">
        <v>418</v>
      </c>
      <c r="B79" s="257" t="s">
        <v>889</v>
      </c>
      <c r="C79" s="257" t="s">
        <v>1024</v>
      </c>
      <c r="D79" s="257" t="s">
        <v>890</v>
      </c>
      <c r="E79" s="257"/>
      <c r="F79" s="80"/>
      <c r="G79" s="80"/>
      <c r="H79" s="80"/>
      <c r="I79" s="80"/>
      <c r="J79" s="80"/>
      <c r="K79" s="50"/>
      <c r="L79" s="50"/>
      <c r="M79" s="50"/>
      <c r="N79" s="50"/>
      <c r="O79" s="50"/>
      <c r="P79" s="50"/>
      <c r="Q79" s="50"/>
      <c r="R79" s="50"/>
      <c r="S79" s="50"/>
      <c r="T79" s="50"/>
      <c r="U79" s="50"/>
      <c r="V79" s="50"/>
      <c r="W79" s="50"/>
      <c r="X79" s="50"/>
      <c r="Y79" s="50"/>
      <c r="Z79" s="50"/>
      <c r="AA79" s="50"/>
      <c r="AB79" s="50"/>
      <c r="AC79" s="50"/>
      <c r="AD79" s="50"/>
    </row>
    <row r="80" spans="1:30" customFormat="1" hidden="1">
      <c r="A80" s="258" t="s">
        <v>419</v>
      </c>
      <c r="B80" s="257" t="s">
        <v>643</v>
      </c>
      <c r="C80" s="257" t="s">
        <v>874</v>
      </c>
      <c r="D80" s="257" t="s">
        <v>875</v>
      </c>
      <c r="E80" s="257"/>
      <c r="F80" s="80"/>
      <c r="G80" s="80"/>
      <c r="H80" s="80"/>
      <c r="I80" s="80"/>
      <c r="J80" s="80"/>
      <c r="K80" s="50"/>
      <c r="L80" s="50"/>
      <c r="M80" s="50"/>
      <c r="N80" s="50"/>
      <c r="O80" s="50"/>
      <c r="P80" s="50"/>
      <c r="Q80" s="50"/>
      <c r="R80" s="50"/>
      <c r="S80" s="50"/>
      <c r="T80" s="50"/>
      <c r="U80" s="50"/>
      <c r="V80" s="50"/>
      <c r="W80" s="50"/>
      <c r="X80" s="50"/>
      <c r="Y80" s="50"/>
      <c r="Z80" s="50"/>
      <c r="AA80" s="50"/>
      <c r="AB80" s="50"/>
      <c r="AC80" s="50"/>
      <c r="AD80" s="50"/>
    </row>
    <row r="81" spans="1:30" customFormat="1" hidden="1">
      <c r="A81" s="263" t="s">
        <v>436</v>
      </c>
      <c r="B81" s="257" t="s">
        <v>873</v>
      </c>
      <c r="C81" s="257" t="s">
        <v>876</v>
      </c>
      <c r="D81" s="257"/>
      <c r="E81" s="257"/>
      <c r="F81" s="80"/>
      <c r="G81" s="80"/>
      <c r="H81" s="80"/>
      <c r="I81" s="80"/>
      <c r="J81" s="80"/>
      <c r="K81" s="50"/>
      <c r="L81" s="50"/>
      <c r="M81" s="50"/>
      <c r="N81" s="50"/>
      <c r="O81" s="50"/>
      <c r="P81" s="50"/>
      <c r="Q81" s="50"/>
      <c r="R81" s="50"/>
      <c r="S81" s="50"/>
      <c r="T81" s="50"/>
      <c r="U81" s="50"/>
      <c r="V81" s="50"/>
      <c r="W81" s="50"/>
      <c r="X81" s="50"/>
      <c r="Y81" s="50"/>
      <c r="Z81" s="50"/>
      <c r="AA81" s="50"/>
      <c r="AB81" s="50"/>
      <c r="AC81" s="50"/>
      <c r="AD81" s="50"/>
    </row>
    <row r="82" spans="1:30" customFormat="1" hidden="1">
      <c r="A82" s="263" t="s">
        <v>594</v>
      </c>
      <c r="B82" s="257"/>
      <c r="C82" s="257"/>
      <c r="D82" s="257"/>
      <c r="E82" s="257"/>
      <c r="F82" s="80"/>
      <c r="G82" s="80"/>
      <c r="H82" s="80"/>
      <c r="I82" s="80"/>
      <c r="J82" s="80"/>
      <c r="K82" s="50"/>
      <c r="L82" s="50"/>
      <c r="M82" s="50"/>
      <c r="N82" s="50"/>
      <c r="O82" s="50"/>
      <c r="P82" s="50"/>
      <c r="Q82" s="50"/>
      <c r="R82" s="50"/>
      <c r="S82" s="50"/>
      <c r="T82" s="50"/>
      <c r="U82" s="50"/>
      <c r="V82" s="50"/>
      <c r="W82" s="50"/>
      <c r="X82" s="50"/>
      <c r="Y82" s="50"/>
      <c r="Z82" s="50"/>
      <c r="AA82" s="50"/>
      <c r="AB82" s="50"/>
      <c r="AC82" s="50"/>
      <c r="AD82" s="50"/>
    </row>
    <row r="83" spans="1:30" customFormat="1" hidden="1">
      <c r="A83" s="258" t="s">
        <v>420</v>
      </c>
      <c r="B83" s="257" t="s">
        <v>612</v>
      </c>
      <c r="C83" s="257" t="s">
        <v>608</v>
      </c>
      <c r="D83" s="257" t="s">
        <v>613</v>
      </c>
      <c r="E83" s="257"/>
      <c r="F83" s="80"/>
      <c r="G83" s="80"/>
      <c r="H83" s="80"/>
      <c r="I83" s="80"/>
      <c r="J83" s="80"/>
      <c r="K83" s="50"/>
      <c r="L83" s="50"/>
      <c r="M83" s="50"/>
      <c r="N83" s="50"/>
      <c r="O83" s="50"/>
      <c r="P83" s="50"/>
      <c r="Q83" s="50"/>
      <c r="R83" s="50"/>
      <c r="S83" s="50"/>
      <c r="T83" s="50"/>
      <c r="U83" s="50"/>
      <c r="V83" s="50"/>
      <c r="W83" s="50"/>
      <c r="X83" s="50"/>
      <c r="Y83" s="50"/>
      <c r="Z83" s="50"/>
      <c r="AA83" s="50"/>
      <c r="AB83" s="50"/>
      <c r="AC83" s="50"/>
      <c r="AD83" s="50"/>
    </row>
    <row r="84" spans="1:30" customFormat="1" hidden="1">
      <c r="A84" s="258" t="s">
        <v>421</v>
      </c>
      <c r="B84" s="257" t="s">
        <v>644</v>
      </c>
      <c r="C84" s="257" t="s">
        <v>1025</v>
      </c>
      <c r="D84" s="257" t="s">
        <v>877</v>
      </c>
      <c r="E84" s="257"/>
      <c r="F84" s="80"/>
      <c r="G84" s="80"/>
      <c r="H84" s="80"/>
      <c r="I84" s="80"/>
      <c r="J84" s="80"/>
      <c r="K84" s="50"/>
      <c r="L84" s="50"/>
      <c r="M84" s="50"/>
      <c r="N84" s="50"/>
      <c r="O84" s="50"/>
      <c r="P84" s="50"/>
      <c r="Q84" s="50"/>
      <c r="R84" s="50"/>
      <c r="S84" s="50"/>
      <c r="T84" s="50"/>
      <c r="U84" s="50"/>
      <c r="V84" s="50"/>
      <c r="W84" s="50"/>
      <c r="X84" s="50"/>
      <c r="Y84" s="50"/>
      <c r="Z84" s="50"/>
      <c r="AA84" s="50"/>
      <c r="AB84" s="50"/>
      <c r="AC84" s="50"/>
      <c r="AD84" s="50"/>
    </row>
    <row r="85" spans="1:30" customFormat="1" hidden="1">
      <c r="A85" s="258" t="s">
        <v>422</v>
      </c>
      <c r="B85" s="257" t="s">
        <v>643</v>
      </c>
      <c r="C85" s="257" t="s">
        <v>1026</v>
      </c>
      <c r="D85" s="257" t="s">
        <v>875</v>
      </c>
      <c r="E85" s="257"/>
      <c r="F85" s="80"/>
      <c r="G85" s="80"/>
      <c r="H85" s="80"/>
      <c r="I85" s="80"/>
      <c r="J85" s="80"/>
      <c r="K85" s="50"/>
      <c r="L85" s="50"/>
      <c r="M85" s="50"/>
      <c r="N85" s="50"/>
      <c r="O85" s="50"/>
      <c r="P85" s="50"/>
      <c r="Q85" s="50"/>
      <c r="R85" s="50"/>
      <c r="S85" s="50"/>
      <c r="T85" s="50"/>
      <c r="U85" s="50"/>
      <c r="V85" s="50"/>
      <c r="W85" s="50"/>
      <c r="X85" s="50"/>
      <c r="Y85" s="50"/>
      <c r="Z85" s="50"/>
      <c r="AA85" s="50"/>
      <c r="AB85" s="50"/>
      <c r="AC85" s="50"/>
      <c r="AD85" s="50"/>
    </row>
    <row r="86" spans="1:30" customFormat="1" hidden="1">
      <c r="A86" s="258" t="s">
        <v>423</v>
      </c>
      <c r="B86" s="257" t="s">
        <v>873</v>
      </c>
      <c r="C86" s="257" t="s">
        <v>1028</v>
      </c>
      <c r="D86" s="2"/>
      <c r="E86" s="257"/>
      <c r="F86" s="80"/>
      <c r="G86" s="80"/>
      <c r="H86" s="80"/>
      <c r="I86" s="80"/>
      <c r="J86" s="80"/>
      <c r="K86" s="50"/>
      <c r="L86" s="50"/>
      <c r="M86" s="50"/>
      <c r="N86" s="50"/>
      <c r="O86" s="50"/>
      <c r="P86" s="50"/>
      <c r="Q86" s="50"/>
      <c r="R86" s="50"/>
      <c r="S86" s="50"/>
      <c r="T86" s="50"/>
      <c r="U86" s="50"/>
      <c r="V86" s="50"/>
      <c r="W86" s="50"/>
      <c r="X86" s="50"/>
      <c r="Y86" s="50"/>
      <c r="Z86" s="50"/>
      <c r="AA86" s="50"/>
      <c r="AB86" s="50"/>
      <c r="AC86" s="50"/>
      <c r="AD86" s="50"/>
    </row>
    <row r="87" spans="1:30" customFormat="1" hidden="1">
      <c r="A87" s="258" t="s">
        <v>607</v>
      </c>
      <c r="B87" s="2"/>
      <c r="C87" s="2"/>
      <c r="D87" s="2"/>
      <c r="E87" s="257"/>
      <c r="F87" s="80"/>
      <c r="G87" s="80"/>
      <c r="H87" s="80"/>
      <c r="I87" s="80"/>
      <c r="J87" s="80"/>
      <c r="K87" s="50"/>
      <c r="L87" s="50"/>
      <c r="M87" s="50"/>
      <c r="N87" s="50"/>
      <c r="O87" s="50"/>
      <c r="P87" s="50"/>
      <c r="Q87" s="50"/>
      <c r="R87" s="50"/>
      <c r="S87" s="50"/>
      <c r="T87" s="50"/>
      <c r="U87" s="50"/>
      <c r="V87" s="50"/>
      <c r="W87" s="50"/>
      <c r="X87" s="50"/>
      <c r="Y87" s="50"/>
      <c r="Z87" s="50"/>
      <c r="AA87" s="50"/>
      <c r="AB87" s="50"/>
      <c r="AC87" s="50"/>
      <c r="AD87" s="50"/>
    </row>
    <row r="88" spans="1:30" customFormat="1" hidden="1">
      <c r="A88" s="258" t="s">
        <v>443</v>
      </c>
      <c r="B88" s="257" t="s">
        <v>614</v>
      </c>
      <c r="C88" s="257" t="s">
        <v>615</v>
      </c>
      <c r="D88" s="2"/>
      <c r="E88" s="257"/>
      <c r="F88" s="80"/>
      <c r="G88" s="80"/>
      <c r="H88" s="80"/>
      <c r="I88" s="80"/>
      <c r="J88" s="80"/>
      <c r="K88" s="50"/>
      <c r="L88" s="50"/>
      <c r="M88" s="50"/>
      <c r="N88" s="50"/>
      <c r="O88" s="50"/>
      <c r="P88" s="50"/>
      <c r="Q88" s="50"/>
      <c r="R88" s="50"/>
      <c r="S88" s="50"/>
      <c r="T88" s="50"/>
      <c r="U88" s="50"/>
      <c r="V88" s="50"/>
      <c r="W88" s="50"/>
      <c r="X88" s="50"/>
      <c r="Y88" s="50"/>
      <c r="Z88" s="50"/>
      <c r="AA88" s="50"/>
      <c r="AB88" s="50"/>
      <c r="AC88" s="50"/>
      <c r="AD88" s="50"/>
    </row>
    <row r="89" spans="1:30" customFormat="1" hidden="1">
      <c r="A89" s="258" t="s">
        <v>448</v>
      </c>
      <c r="B89" s="257" t="s">
        <v>617</v>
      </c>
      <c r="C89" s="257" t="s">
        <v>616</v>
      </c>
      <c r="D89" s="2"/>
      <c r="E89" s="257"/>
      <c r="F89" s="80"/>
      <c r="G89" s="80"/>
      <c r="H89" s="80"/>
      <c r="I89" s="80"/>
      <c r="J89" s="80"/>
      <c r="K89" s="50"/>
      <c r="L89" s="50"/>
      <c r="M89" s="50"/>
      <c r="N89" s="50"/>
      <c r="O89" s="50"/>
      <c r="P89" s="50"/>
      <c r="Q89" s="50"/>
      <c r="R89" s="50"/>
      <c r="S89" s="50"/>
      <c r="T89" s="50"/>
      <c r="U89" s="50"/>
      <c r="V89" s="50"/>
      <c r="W89" s="50"/>
      <c r="X89" s="50"/>
      <c r="Y89" s="50"/>
      <c r="Z89" s="50"/>
      <c r="AA89" s="50"/>
      <c r="AB89" s="50"/>
      <c r="AC89" s="50"/>
      <c r="AD89" s="50"/>
    </row>
    <row r="90" spans="1:30" customFormat="1" hidden="1">
      <c r="A90" s="257" t="s">
        <v>651</v>
      </c>
      <c r="B90" s="257" t="s">
        <v>645</v>
      </c>
      <c r="C90" s="257" t="s">
        <v>646</v>
      </c>
      <c r="D90" s="257"/>
      <c r="E90" s="257"/>
      <c r="F90" s="80"/>
      <c r="G90" s="80"/>
      <c r="H90" s="80"/>
      <c r="I90" s="80"/>
      <c r="J90" s="80"/>
      <c r="K90" s="50"/>
      <c r="L90" s="50"/>
      <c r="M90" s="50"/>
      <c r="N90" s="50"/>
      <c r="O90" s="50"/>
      <c r="P90" s="50"/>
      <c r="Q90" s="50"/>
      <c r="R90" s="50"/>
      <c r="S90" s="50"/>
      <c r="T90" s="50"/>
      <c r="U90" s="50"/>
      <c r="V90" s="50"/>
      <c r="W90" s="50"/>
      <c r="X90" s="50"/>
      <c r="Y90" s="50"/>
      <c r="Z90" s="50"/>
      <c r="AA90" s="50"/>
      <c r="AB90" s="50"/>
      <c r="AC90" s="50"/>
      <c r="AD90" s="50"/>
    </row>
    <row r="91" spans="1:30" customFormat="1" hidden="1">
      <c r="A91" s="257" t="s">
        <v>426</v>
      </c>
      <c r="B91" s="257" t="s">
        <v>647</v>
      </c>
      <c r="C91" s="257" t="s">
        <v>1056</v>
      </c>
      <c r="D91" s="257"/>
      <c r="E91" s="257"/>
      <c r="F91" s="80"/>
      <c r="G91" s="80"/>
      <c r="H91" s="80"/>
      <c r="I91" s="80"/>
      <c r="J91" s="80"/>
      <c r="K91" s="50"/>
      <c r="L91" s="50"/>
      <c r="M91" s="50"/>
      <c r="N91" s="50"/>
      <c r="O91" s="50"/>
      <c r="P91" s="50"/>
      <c r="Q91" s="50"/>
      <c r="R91" s="50"/>
      <c r="S91" s="50"/>
      <c r="T91" s="50"/>
      <c r="U91" s="50"/>
      <c r="V91" s="50"/>
      <c r="W91" s="50"/>
      <c r="X91" s="50"/>
      <c r="Y91" s="50"/>
      <c r="Z91" s="50"/>
      <c r="AA91" s="50"/>
      <c r="AB91" s="50"/>
      <c r="AC91" s="50"/>
      <c r="AD91" s="50"/>
    </row>
    <row r="92" spans="1:30" customFormat="1" hidden="1">
      <c r="A92" s="257" t="s">
        <v>427</v>
      </c>
      <c r="B92" s="283" t="s">
        <v>689</v>
      </c>
      <c r="C92" s="283" t="s">
        <v>690</v>
      </c>
      <c r="D92" s="257"/>
      <c r="E92" s="257"/>
      <c r="F92" s="80"/>
      <c r="G92" s="80"/>
      <c r="H92" s="80"/>
      <c r="I92" s="80"/>
      <c r="J92" s="80"/>
      <c r="K92" s="50"/>
      <c r="L92" s="50"/>
      <c r="M92" s="50"/>
      <c r="N92" s="50"/>
      <c r="O92" s="50"/>
      <c r="P92" s="50"/>
      <c r="Q92" s="50"/>
      <c r="R92" s="50"/>
      <c r="S92" s="50"/>
      <c r="T92" s="50"/>
      <c r="U92" s="50"/>
      <c r="V92" s="50"/>
      <c r="W92" s="50"/>
      <c r="X92" s="50"/>
      <c r="Y92" s="50"/>
      <c r="Z92" s="50"/>
      <c r="AA92" s="50"/>
      <c r="AB92" s="50"/>
      <c r="AC92" s="50"/>
      <c r="AD92" s="50"/>
    </row>
    <row r="93" spans="1:30" customFormat="1" hidden="1">
      <c r="A93" s="257" t="s">
        <v>872</v>
      </c>
      <c r="B93" s="283" t="s">
        <v>1027</v>
      </c>
      <c r="C93" s="283" t="s">
        <v>878</v>
      </c>
      <c r="D93" s="2"/>
      <c r="E93" s="257"/>
      <c r="F93" s="80"/>
      <c r="G93" s="80"/>
      <c r="H93" s="80"/>
      <c r="I93" s="80"/>
      <c r="J93" s="80"/>
      <c r="K93" s="50"/>
      <c r="L93" s="50"/>
      <c r="M93" s="50"/>
      <c r="N93" s="50"/>
      <c r="O93" s="50"/>
      <c r="P93" s="50"/>
      <c r="Q93" s="50"/>
      <c r="R93" s="50"/>
      <c r="S93" s="50"/>
      <c r="T93" s="50"/>
      <c r="U93" s="50"/>
      <c r="V93" s="50"/>
      <c r="W93" s="50"/>
      <c r="X93" s="50"/>
      <c r="Y93" s="50"/>
      <c r="Z93" s="50"/>
      <c r="AA93" s="50"/>
      <c r="AB93" s="50"/>
      <c r="AC93" s="50"/>
      <c r="AD93" s="50"/>
    </row>
    <row r="94" spans="1:30" customFormat="1" hidden="1">
      <c r="A94" s="258" t="s">
        <v>411</v>
      </c>
      <c r="B94" s="257"/>
      <c r="C94" s="257"/>
      <c r="D94" s="257"/>
      <c r="E94" s="257"/>
      <c r="F94" s="80"/>
      <c r="G94" s="80"/>
      <c r="H94" s="80"/>
      <c r="I94" s="80"/>
      <c r="J94" s="80"/>
      <c r="K94" s="50"/>
      <c r="L94" s="50"/>
      <c r="M94" s="50"/>
      <c r="N94" s="50"/>
      <c r="O94" s="50"/>
      <c r="P94" s="50"/>
      <c r="Q94" s="50"/>
      <c r="R94" s="50"/>
      <c r="S94" s="50"/>
      <c r="T94" s="50"/>
      <c r="U94" s="50"/>
      <c r="V94" s="50"/>
      <c r="W94" s="50"/>
      <c r="X94" s="50"/>
      <c r="Y94" s="50"/>
      <c r="Z94" s="50"/>
      <c r="AA94" s="50"/>
      <c r="AB94" s="50"/>
      <c r="AC94" s="50"/>
      <c r="AD94" s="50"/>
    </row>
    <row r="95" spans="1:30" customFormat="1" hidden="1">
      <c r="A95" s="257" t="s">
        <v>438</v>
      </c>
      <c r="B95" s="257" t="s">
        <v>648</v>
      </c>
      <c r="C95" s="257" t="s">
        <v>649</v>
      </c>
      <c r="D95" s="257"/>
      <c r="E95" s="257"/>
      <c r="F95" s="80"/>
      <c r="G95" s="80"/>
      <c r="H95" s="80"/>
      <c r="I95" s="80"/>
      <c r="J95" s="80"/>
      <c r="K95" s="50"/>
      <c r="L95" s="50"/>
      <c r="M95" s="50"/>
      <c r="N95" s="50"/>
      <c r="O95" s="50"/>
      <c r="P95" s="50"/>
      <c r="Q95" s="50"/>
      <c r="R95" s="50"/>
      <c r="S95" s="50"/>
      <c r="T95" s="50"/>
      <c r="U95" s="50"/>
      <c r="V95" s="50"/>
      <c r="W95" s="50"/>
      <c r="X95" s="50"/>
      <c r="Y95" s="50"/>
      <c r="Z95" s="50"/>
      <c r="AA95" s="50"/>
      <c r="AB95" s="50"/>
      <c r="AC95" s="50"/>
      <c r="AD95" s="50"/>
    </row>
    <row r="96" spans="1:30" customFormat="1" hidden="1">
      <c r="A96" s="257" t="s">
        <v>439</v>
      </c>
      <c r="B96" s="257" t="s">
        <v>172</v>
      </c>
      <c r="C96" s="257" t="s">
        <v>880</v>
      </c>
      <c r="D96" s="257" t="s">
        <v>881</v>
      </c>
      <c r="E96" s="257"/>
      <c r="F96" s="80"/>
      <c r="G96" s="80"/>
      <c r="H96" s="80"/>
      <c r="I96" s="80"/>
      <c r="J96" s="80"/>
      <c r="K96" s="50"/>
      <c r="L96" s="50"/>
      <c r="M96" s="50"/>
      <c r="N96" s="50"/>
      <c r="O96" s="50"/>
      <c r="P96" s="50"/>
      <c r="Q96" s="50"/>
      <c r="R96" s="50"/>
      <c r="S96" s="50"/>
      <c r="T96" s="50"/>
      <c r="U96" s="50"/>
      <c r="V96" s="50"/>
      <c r="W96" s="50"/>
      <c r="X96" s="50"/>
      <c r="Y96" s="50"/>
      <c r="Z96" s="50"/>
      <c r="AA96" s="50"/>
      <c r="AB96" s="50"/>
      <c r="AC96" s="50"/>
      <c r="AD96" s="50"/>
    </row>
    <row r="97" spans="1:30" customFormat="1" hidden="1">
      <c r="A97" s="257" t="s">
        <v>440</v>
      </c>
      <c r="B97" s="257" t="s">
        <v>879</v>
      </c>
      <c r="C97" s="257" t="s">
        <v>650</v>
      </c>
      <c r="D97" s="257" t="s">
        <v>693</v>
      </c>
      <c r="E97" s="257"/>
      <c r="F97" s="80"/>
      <c r="G97" s="80"/>
      <c r="H97" s="80"/>
      <c r="I97" s="80"/>
      <c r="J97" s="80"/>
      <c r="K97" s="50"/>
      <c r="L97" s="50"/>
      <c r="M97" s="50"/>
      <c r="N97" s="50"/>
      <c r="O97" s="50"/>
      <c r="P97" s="50"/>
      <c r="Q97" s="50"/>
      <c r="R97" s="50"/>
      <c r="S97" s="50"/>
      <c r="T97" s="50"/>
      <c r="U97" s="50"/>
      <c r="V97" s="50"/>
      <c r="W97" s="50"/>
      <c r="X97" s="50"/>
      <c r="Y97" s="50"/>
      <c r="Z97" s="50"/>
      <c r="AA97" s="50"/>
      <c r="AB97" s="50"/>
      <c r="AC97" s="50"/>
      <c r="AD97" s="50"/>
    </row>
    <row r="98" spans="1:30" ht="19.5" hidden="1" customHeight="1">
      <c r="A98" s="50"/>
      <c r="B98" s="50"/>
      <c r="C98" s="50"/>
      <c r="D98" s="50"/>
      <c r="E98" s="50"/>
      <c r="F98" s="50"/>
      <c r="G98" s="50"/>
      <c r="H98" s="50"/>
      <c r="I98" s="50"/>
      <c r="J98" s="50"/>
      <c r="K98" s="50"/>
      <c r="L98" s="50"/>
      <c r="M98" s="50"/>
      <c r="N98" s="50"/>
      <c r="O98" s="50"/>
      <c r="P98" s="50"/>
      <c r="Q98" s="50"/>
      <c r="R98" s="50"/>
      <c r="S98" s="50"/>
      <c r="T98" s="50"/>
      <c r="U98" s="50"/>
      <c r="V98" s="50"/>
      <c r="W98" s="50"/>
      <c r="X98" s="50"/>
      <c r="Y98" s="50"/>
      <c r="Z98" s="50"/>
      <c r="AA98" s="50"/>
      <c r="AB98" s="50"/>
      <c r="AC98" s="50"/>
      <c r="AD98" s="50"/>
    </row>
    <row r="99" spans="1:30">
      <c r="A99" s="50"/>
      <c r="B99" s="50"/>
      <c r="C99" s="50"/>
      <c r="D99" s="50"/>
      <c r="E99" s="50"/>
      <c r="F99" s="50"/>
      <c r="G99" s="50"/>
      <c r="H99" s="50"/>
      <c r="I99" s="50"/>
      <c r="J99" s="50"/>
      <c r="K99" s="50"/>
      <c r="L99" s="50"/>
      <c r="M99" s="50"/>
      <c r="N99" s="50"/>
      <c r="O99" s="50"/>
      <c r="P99" s="50"/>
      <c r="Q99" s="50"/>
      <c r="R99" s="50"/>
      <c r="S99" s="50"/>
      <c r="T99" s="50"/>
      <c r="U99" s="50"/>
      <c r="V99" s="50"/>
      <c r="W99" s="50"/>
      <c r="X99" s="50"/>
      <c r="Y99" s="50"/>
      <c r="Z99" s="50"/>
      <c r="AA99" s="50"/>
      <c r="AB99" s="50"/>
      <c r="AC99" s="50"/>
      <c r="AD99" s="50"/>
    </row>
    <row r="100" spans="1:30" s="83" customFormat="1">
      <c r="K100" s="50"/>
      <c r="L100" s="50"/>
      <c r="M100" s="50"/>
      <c r="N100" s="50"/>
      <c r="O100" s="50"/>
      <c r="P100" s="50"/>
      <c r="Q100" s="50"/>
      <c r="R100" s="50"/>
      <c r="S100" s="50"/>
      <c r="T100" s="50"/>
      <c r="U100" s="50"/>
      <c r="V100" s="50"/>
      <c r="W100" s="50"/>
      <c r="X100" s="50"/>
      <c r="Y100" s="50"/>
      <c r="Z100" s="50"/>
      <c r="AA100" s="50"/>
      <c r="AB100" s="50"/>
      <c r="AC100" s="50"/>
      <c r="AD100" s="50"/>
    </row>
    <row r="101" spans="1:30" s="83" customFormat="1" ht="14.25" customHeight="1">
      <c r="K101" s="50"/>
      <c r="L101" s="50"/>
      <c r="M101" s="50"/>
      <c r="N101" s="50"/>
      <c r="O101" s="50"/>
      <c r="P101" s="50"/>
      <c r="Q101" s="50"/>
      <c r="R101" s="50"/>
      <c r="S101" s="50"/>
      <c r="T101" s="50"/>
      <c r="U101" s="50"/>
      <c r="V101" s="50"/>
      <c r="W101" s="50"/>
      <c r="X101" s="50"/>
      <c r="Y101" s="50"/>
      <c r="Z101" s="50"/>
      <c r="AA101" s="50"/>
      <c r="AB101" s="50"/>
      <c r="AC101" s="50"/>
      <c r="AD101" s="50"/>
    </row>
    <row r="102" spans="1:30" s="83" customFormat="1">
      <c r="K102" s="50"/>
      <c r="L102" s="50"/>
      <c r="M102" s="50"/>
      <c r="N102" s="50"/>
      <c r="O102" s="50"/>
      <c r="P102" s="50"/>
      <c r="Q102" s="50"/>
      <c r="R102" s="50"/>
      <c r="S102" s="50"/>
      <c r="T102" s="50"/>
      <c r="U102" s="50"/>
      <c r="V102" s="50"/>
      <c r="W102" s="50"/>
      <c r="X102" s="50"/>
      <c r="Y102" s="50"/>
      <c r="Z102" s="50"/>
      <c r="AA102" s="50"/>
      <c r="AB102" s="50"/>
      <c r="AC102" s="50"/>
      <c r="AD102" s="50"/>
    </row>
    <row r="103" spans="1:30" s="83" customFormat="1">
      <c r="K103" s="50"/>
      <c r="L103" s="50"/>
      <c r="M103" s="50"/>
      <c r="N103" s="50"/>
      <c r="O103" s="50"/>
      <c r="P103" s="50"/>
      <c r="Q103" s="50"/>
      <c r="R103" s="50"/>
      <c r="S103" s="50"/>
      <c r="T103" s="50"/>
      <c r="U103" s="50"/>
      <c r="V103" s="50"/>
      <c r="W103" s="50"/>
      <c r="X103" s="50"/>
      <c r="Y103" s="50"/>
      <c r="Z103" s="50"/>
      <c r="AA103" s="50"/>
      <c r="AB103" s="50"/>
      <c r="AC103" s="50"/>
      <c r="AD103" s="50"/>
    </row>
    <row r="104" spans="1:30" s="83" customFormat="1">
      <c r="K104" s="50"/>
      <c r="L104" s="50"/>
      <c r="M104" s="50"/>
      <c r="N104" s="50"/>
      <c r="O104" s="50"/>
      <c r="P104" s="50"/>
      <c r="Q104" s="50"/>
      <c r="R104" s="50"/>
      <c r="S104" s="50"/>
      <c r="T104" s="50"/>
      <c r="U104" s="50"/>
      <c r="V104" s="50"/>
      <c r="W104" s="50"/>
      <c r="X104" s="50"/>
      <c r="Y104" s="50"/>
      <c r="Z104" s="50"/>
      <c r="AA104" s="50"/>
      <c r="AB104" s="50"/>
      <c r="AC104" s="50"/>
      <c r="AD104" s="50"/>
    </row>
    <row r="105" spans="1:30" s="83" customFormat="1">
      <c r="K105" s="50"/>
      <c r="L105" s="50"/>
      <c r="M105" s="50"/>
      <c r="N105" s="50"/>
      <c r="O105" s="50"/>
      <c r="P105" s="50"/>
      <c r="Q105" s="50"/>
      <c r="R105" s="50"/>
      <c r="S105" s="50"/>
      <c r="T105" s="50"/>
      <c r="U105" s="50"/>
      <c r="V105" s="50"/>
      <c r="W105" s="50"/>
      <c r="X105" s="50"/>
      <c r="Y105" s="50"/>
      <c r="Z105" s="50"/>
      <c r="AA105" s="50"/>
      <c r="AB105" s="50"/>
      <c r="AC105" s="50"/>
      <c r="AD105" s="50"/>
    </row>
    <row r="106" spans="1:30" s="83" customFormat="1">
      <c r="K106" s="50"/>
      <c r="L106" s="50"/>
      <c r="M106" s="50"/>
      <c r="N106" s="50"/>
      <c r="O106" s="50"/>
      <c r="P106" s="50"/>
      <c r="Q106" s="50"/>
      <c r="R106" s="50"/>
      <c r="S106" s="50"/>
      <c r="T106" s="50"/>
      <c r="U106" s="50"/>
      <c r="V106" s="50"/>
      <c r="W106" s="50"/>
      <c r="X106" s="50"/>
      <c r="Y106" s="50"/>
      <c r="Z106" s="50"/>
      <c r="AA106" s="50"/>
      <c r="AB106" s="50"/>
      <c r="AC106" s="50"/>
      <c r="AD106" s="50"/>
    </row>
    <row r="107" spans="1:30" s="83" customFormat="1">
      <c r="K107" s="50"/>
      <c r="L107" s="50"/>
      <c r="M107" s="50"/>
      <c r="N107" s="50"/>
      <c r="O107" s="50"/>
      <c r="P107" s="50"/>
      <c r="Q107" s="50"/>
      <c r="R107" s="50"/>
      <c r="S107" s="50"/>
      <c r="T107" s="50"/>
      <c r="U107" s="50"/>
      <c r="V107" s="50"/>
      <c r="W107" s="50"/>
      <c r="X107" s="50"/>
      <c r="Y107" s="50"/>
      <c r="Z107" s="50"/>
      <c r="AA107" s="50"/>
      <c r="AB107" s="50"/>
      <c r="AC107" s="50"/>
      <c r="AD107" s="50"/>
    </row>
    <row r="108" spans="1:30" s="83" customFormat="1">
      <c r="K108" s="50"/>
      <c r="L108" s="50"/>
      <c r="M108" s="50"/>
      <c r="N108" s="50"/>
      <c r="O108" s="50"/>
      <c r="P108" s="50"/>
      <c r="Q108" s="50"/>
      <c r="R108" s="50"/>
      <c r="S108" s="50"/>
      <c r="T108" s="50"/>
      <c r="U108" s="50"/>
      <c r="V108" s="50"/>
      <c r="W108" s="50"/>
      <c r="X108" s="50"/>
      <c r="Y108" s="50"/>
      <c r="Z108" s="50"/>
      <c r="AA108" s="50"/>
      <c r="AB108" s="50"/>
      <c r="AC108" s="50"/>
      <c r="AD108" s="50"/>
    </row>
    <row r="109" spans="1:30" s="83" customFormat="1">
      <c r="K109" s="50"/>
      <c r="L109" s="50"/>
      <c r="M109" s="50"/>
      <c r="N109" s="50"/>
      <c r="O109" s="50"/>
      <c r="P109" s="50"/>
      <c r="Q109" s="50"/>
      <c r="R109" s="50"/>
      <c r="S109" s="50"/>
      <c r="T109" s="50"/>
      <c r="U109" s="50"/>
      <c r="V109" s="50"/>
      <c r="W109" s="50"/>
      <c r="X109" s="50"/>
      <c r="Y109" s="50"/>
      <c r="Z109" s="50"/>
      <c r="AA109" s="50"/>
      <c r="AB109" s="50"/>
      <c r="AC109" s="50"/>
      <c r="AD109" s="50"/>
    </row>
    <row r="110" spans="1:30" s="83" customFormat="1"/>
    <row r="111" spans="1:30" s="83" customFormat="1"/>
    <row r="112" spans="1:30" s="83" customFormat="1"/>
    <row r="113" spans="1:1" s="83" customFormat="1"/>
    <row r="115" spans="1:1" hidden="1">
      <c r="A115" s="2" t="s">
        <v>391</v>
      </c>
    </row>
    <row r="116" spans="1:1" hidden="1">
      <c r="A116" s="2" t="s">
        <v>587</v>
      </c>
    </row>
    <row r="117" spans="1:1" hidden="1"/>
  </sheetData>
  <sheetProtection algorithmName="SHA-512" hashValue="KZAiApqDZ/eO3V8dgkRBd0HJJW/a1CsH+jyP6Sc1xul+OyNHzYzh1LPWbhS1JXUTsCJQKXAu2nY+3iO0CCJGGA==" saltValue="V+HFeCaVXi3uufM7b4Hyfg==" spinCount="100000" sheet="1" objects="1" scenarios="1"/>
  <dataConsolidate/>
  <customSheetViews>
    <customSheetView guid="{52A26A5D-FD00-480B-943F-DB06B537D6D8}" scale="70" showPageBreaks="1" printArea="1" hiddenRows="1">
      <selection activeCell="C19" sqref="C19"/>
      <rowBreaks count="1" manualBreakCount="1">
        <brk id="21" max="5" man="1"/>
      </rowBreaks>
      <pageMargins left="0.7" right="0.7" top="0.75" bottom="0.75" header="0.3" footer="0.3"/>
      <pageSetup scale="45" orientation="landscape" r:id="rId1"/>
    </customSheetView>
    <customSheetView guid="{EF22FA0B-F747-41C1-93DE-56651BBC6020}" scale="90" hiddenRows="1">
      <selection activeCell="D10" sqref="D10"/>
      <rowBreaks count="1" manualBreakCount="1">
        <brk id="21" max="5" man="1"/>
      </rowBreaks>
      <pageMargins left="0.7" right="0.7" top="0.75" bottom="0.75" header="0.3" footer="0.3"/>
      <pageSetup scale="45" orientation="landscape" r:id="rId2"/>
    </customSheetView>
  </customSheetViews>
  <mergeCells count="7">
    <mergeCell ref="L9:O9"/>
    <mergeCell ref="A1:F1"/>
    <mergeCell ref="A39:A40"/>
    <mergeCell ref="A37:A38"/>
    <mergeCell ref="B8:D8"/>
    <mergeCell ref="B9:C9"/>
    <mergeCell ref="A35:A36"/>
  </mergeCells>
  <dataValidations count="19">
    <dataValidation type="list" allowBlank="1" showInputMessage="1" showErrorMessage="1" sqref="D37">
      <formula1>$B$90:$D$90</formula1>
    </dataValidation>
    <dataValidation type="list" allowBlank="1" showInputMessage="1" showErrorMessage="1" sqref="D29">
      <formula1>$B$84:$E$84</formula1>
    </dataValidation>
    <dataValidation type="list" allowBlank="1" showInputMessage="1" showErrorMessage="1" sqref="D45">
      <formula1>$B$96:$E$96</formula1>
    </dataValidation>
    <dataValidation type="list" allowBlank="1" showInputMessage="1" showErrorMessage="1" sqref="D44">
      <formula1>$B$95:$D$95</formula1>
    </dataValidation>
    <dataValidation type="list" allowBlank="1" showInputMessage="1" showErrorMessage="1" sqref="D46">
      <formula1>$B$97:$E$97</formula1>
    </dataValidation>
    <dataValidation type="list" allowBlank="1" showInputMessage="1" showErrorMessage="1" sqref="D21">
      <formula1>$B$78:$E$78</formula1>
    </dataValidation>
    <dataValidation type="list" allowBlank="1" showInputMessage="1" showErrorMessage="1" sqref="D22">
      <formula1>$B$79:$E$79</formula1>
    </dataValidation>
    <dataValidation type="list" allowBlank="1" showInputMessage="1" showErrorMessage="1" sqref="D31">
      <formula1>$B$86:$D$86</formula1>
    </dataValidation>
    <dataValidation type="list" allowBlank="1" showInputMessage="1" showErrorMessage="1" sqref="D30">
      <formula1>$B$85:$E$85</formula1>
    </dataValidation>
    <dataValidation type="list" allowBlank="1" showInputMessage="1" showErrorMessage="1" sqref="D23">
      <formula1>$B$80:$E$80</formula1>
    </dataValidation>
    <dataValidation type="list" allowBlank="1" showInputMessage="1" showErrorMessage="1" sqref="D24">
      <formula1>$B$81:$D$81</formula1>
    </dataValidation>
    <dataValidation type="list" allowBlank="1" showInputMessage="1" showErrorMessage="1" sqref="D36">
      <formula1>$B$89:$D$89</formula1>
    </dataValidation>
    <dataValidation type="list" allowBlank="1" showInputMessage="1" showErrorMessage="1" sqref="D28">
      <formula1>$B$83:$E$83</formula1>
    </dataValidation>
    <dataValidation type="list" allowBlank="1" showInputMessage="1" showErrorMessage="1" sqref="D19 D10">
      <formula1>$B$76:$E$76</formula1>
    </dataValidation>
    <dataValidation type="list" allowBlank="1" showInputMessage="1" showErrorMessage="1" sqref="D35">
      <formula1>$B$88:$D$88</formula1>
    </dataValidation>
    <dataValidation type="list" allowBlank="1" showInputMessage="1" showErrorMessage="1" sqref="D40">
      <formula1>$B$93:$D$93</formula1>
    </dataValidation>
    <dataValidation type="list" allowBlank="1" showInputMessage="1" showErrorMessage="1" sqref="D38">
      <formula1>$B$91:$D$91</formula1>
    </dataValidation>
    <dataValidation type="list" allowBlank="1" showInputMessage="1" showErrorMessage="1" sqref="D39">
      <formula1>$B$92:$D$92</formula1>
    </dataValidation>
    <dataValidation type="list" allowBlank="1" showInputMessage="1" showErrorMessage="1" sqref="D9">
      <formula1>$B$76:$F$76</formula1>
    </dataValidation>
  </dataValidations>
  <pageMargins left="0.7" right="0.7" top="0.75" bottom="0.75" header="0.3" footer="0.3"/>
  <pageSetup scale="45" orientation="landscape" r:id="rId3"/>
  <rowBreaks count="1" manualBreakCount="1">
    <brk id="50" max="5" man="1"/>
  </rowBreaks>
  <drawing r:id="rId4"/>
  <legacyDrawing r:id="rId5"/>
  <tableParts count="1">
    <tablePart r:id="rId6"/>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outlinePr summaryBelow="0" summaryRight="0"/>
  </sheetPr>
  <dimension ref="A1:BE252"/>
  <sheetViews>
    <sheetView zoomScale="80" zoomScaleNormal="80" workbookViewId="0">
      <selection activeCell="C11" sqref="C11"/>
    </sheetView>
  </sheetViews>
  <sheetFormatPr defaultColWidth="9.140625" defaultRowHeight="15" outlineLevelRow="1"/>
  <cols>
    <col min="1" max="1" width="49.42578125" style="2" customWidth="1"/>
    <col min="2" max="2" width="59.42578125" style="2" customWidth="1"/>
    <col min="3" max="3" width="46" style="2" customWidth="1"/>
    <col min="4" max="4" width="85.85546875" style="2" customWidth="1"/>
    <col min="5" max="5" width="17.85546875" style="2" customWidth="1"/>
    <col min="6" max="6" width="21.42578125" style="2" customWidth="1"/>
    <col min="7" max="10" width="11" style="2" customWidth="1"/>
    <col min="11" max="11" width="21.140625" style="2" hidden="1" customWidth="1"/>
    <col min="12" max="12" width="36.28515625" style="2" hidden="1" customWidth="1"/>
    <col min="13" max="13" width="20.5703125" style="2" hidden="1" customWidth="1"/>
    <col min="14" max="14" width="43.28515625" style="2" hidden="1" customWidth="1"/>
    <col min="15" max="15" width="34.42578125" style="2" hidden="1" customWidth="1"/>
    <col min="16" max="16" width="20" style="2" hidden="1" customWidth="1"/>
    <col min="17" max="17" width="16" style="2" hidden="1" customWidth="1"/>
    <col min="18" max="16384" width="9.140625" style="2"/>
  </cols>
  <sheetData>
    <row r="1" spans="1:57" ht="26.25">
      <c r="A1" s="408" t="s">
        <v>482</v>
      </c>
      <c r="B1" s="408"/>
      <c r="C1" s="408"/>
      <c r="D1" s="408"/>
      <c r="E1" s="408"/>
      <c r="F1" s="408"/>
      <c r="G1" s="50"/>
      <c r="H1" s="50"/>
      <c r="I1" s="50"/>
      <c r="J1" s="50"/>
      <c r="K1" s="50"/>
      <c r="L1" s="50"/>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c r="BA1" s="62"/>
      <c r="BB1" s="62"/>
      <c r="BC1" s="62"/>
      <c r="BD1" s="62"/>
      <c r="BE1" s="62"/>
    </row>
    <row r="2" spans="1:57" ht="21.2" customHeight="1" thickBot="1">
      <c r="A2" s="50"/>
      <c r="B2" s="49"/>
      <c r="C2" s="49"/>
      <c r="D2" s="49"/>
      <c r="E2" s="49"/>
      <c r="F2" s="49"/>
      <c r="G2" s="50"/>
      <c r="H2" s="50"/>
      <c r="I2" s="50"/>
      <c r="J2" s="50"/>
      <c r="K2" s="50"/>
      <c r="L2" s="50"/>
      <c r="M2" s="62"/>
      <c r="N2" s="62"/>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row>
    <row r="3" spans="1:57" ht="31.5" customHeight="1">
      <c r="A3" s="86" t="s">
        <v>467</v>
      </c>
      <c r="B3" s="168" t="str">
        <f>SUM(M24:M26) &amp; " of 12 points"</f>
        <v>0 of 12 points</v>
      </c>
      <c r="C3" s="85"/>
      <c r="D3" s="49"/>
      <c r="E3" s="49"/>
      <c r="F3" s="49"/>
      <c r="G3" s="50"/>
      <c r="H3" s="50"/>
      <c r="I3" s="50"/>
      <c r="J3" s="50"/>
      <c r="K3" s="50"/>
      <c r="L3" s="50"/>
      <c r="M3" s="62"/>
      <c r="N3" s="62"/>
      <c r="O3" s="62"/>
      <c r="P3" s="62"/>
      <c r="Q3" s="62"/>
      <c r="R3" s="62"/>
      <c r="S3" s="62"/>
      <c r="T3" s="62"/>
      <c r="U3" s="62"/>
      <c r="V3" s="62"/>
      <c r="W3" s="62"/>
      <c r="X3" s="62"/>
      <c r="Y3" s="62"/>
      <c r="Z3" s="62"/>
      <c r="AA3" s="62"/>
      <c r="AB3" s="62"/>
      <c r="AC3" s="62"/>
      <c r="AD3" s="62"/>
      <c r="AE3" s="62"/>
      <c r="AF3" s="62"/>
      <c r="AG3" s="62"/>
      <c r="AH3" s="62"/>
      <c r="AI3" s="62"/>
      <c r="AJ3" s="62"/>
      <c r="AK3" s="62"/>
      <c r="AL3" s="62"/>
      <c r="AM3" s="62"/>
      <c r="AN3" s="62"/>
      <c r="AO3" s="62"/>
      <c r="AP3" s="62"/>
      <c r="AQ3" s="62"/>
      <c r="AR3" s="62"/>
      <c r="AS3" s="62"/>
      <c r="AT3" s="62"/>
      <c r="AU3" s="62"/>
      <c r="AV3" s="62"/>
      <c r="AW3" s="62"/>
      <c r="AX3" s="62"/>
      <c r="AY3" s="62"/>
      <c r="AZ3" s="62"/>
      <c r="BA3" s="62"/>
      <c r="BB3" s="62"/>
      <c r="BC3" s="62"/>
      <c r="BD3" s="62"/>
      <c r="BE3" s="62"/>
    </row>
    <row r="4" spans="1:57" s="5" customFormat="1" ht="30" customHeight="1">
      <c r="A4" s="289" t="s">
        <v>833</v>
      </c>
      <c r="B4" s="167" t="str">
        <f>SUM(M21:M22)   &amp; " of " &amp; 7.5</f>
        <v>0 of 7.5</v>
      </c>
      <c r="C4" s="49"/>
      <c r="D4" s="49"/>
      <c r="E4" s="49"/>
      <c r="F4" s="49"/>
      <c r="G4" s="50"/>
      <c r="H4" s="50"/>
      <c r="I4" s="50"/>
      <c r="J4" s="50"/>
      <c r="K4" s="50"/>
      <c r="L4" s="50"/>
      <c r="M4" s="62"/>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c r="BE4" s="62"/>
    </row>
    <row r="5" spans="1:57" s="5" customFormat="1" ht="22.5" customHeight="1">
      <c r="A5" s="289" t="s">
        <v>452</v>
      </c>
      <c r="B5" s="167" t="str">
        <f>SUM(E37:E39)   &amp; " of " &amp; 2</f>
        <v>0 of 2</v>
      </c>
      <c r="C5" s="51"/>
      <c r="D5" s="49"/>
      <c r="E5" s="49"/>
      <c r="F5" s="49"/>
      <c r="G5" s="49"/>
      <c r="H5" s="50"/>
      <c r="I5" s="50"/>
      <c r="J5" s="50"/>
      <c r="K5" s="50"/>
      <c r="L5" s="50"/>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c r="BC5" s="62"/>
      <c r="BD5" s="62"/>
      <c r="BE5" s="62"/>
    </row>
    <row r="6" spans="1:57" s="5" customFormat="1" ht="21.75" customHeight="1" thickBot="1">
      <c r="A6" s="88" t="s">
        <v>470</v>
      </c>
      <c r="B6" s="324" t="str">
        <f>SUM(E44:E45)   &amp; " of " &amp; 2.5</f>
        <v>0 of 2.5</v>
      </c>
      <c r="C6" s="51"/>
      <c r="D6" s="49"/>
      <c r="E6" s="49"/>
      <c r="F6" s="49"/>
      <c r="G6" s="49"/>
      <c r="H6" s="50"/>
      <c r="I6" s="50"/>
      <c r="J6" s="50"/>
      <c r="K6" s="50"/>
      <c r="L6" s="50"/>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c r="BE6" s="62"/>
    </row>
    <row r="7" spans="1:57" s="5" customFormat="1" ht="21.75" thickBot="1">
      <c r="A7" s="53"/>
      <c r="B7" s="53"/>
      <c r="C7" s="53"/>
      <c r="D7" s="49"/>
      <c r="E7" s="49"/>
      <c r="F7" s="49"/>
      <c r="G7" s="50"/>
      <c r="H7" s="50"/>
      <c r="I7" s="50"/>
      <c r="J7" s="50"/>
      <c r="K7" s="50"/>
      <c r="L7" s="50"/>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2"/>
      <c r="AY7" s="62"/>
      <c r="AZ7" s="62"/>
      <c r="BA7" s="62"/>
      <c r="BB7" s="62"/>
      <c r="BC7" s="62"/>
      <c r="BD7" s="62"/>
      <c r="BE7" s="62"/>
    </row>
    <row r="8" spans="1:57" s="5" customFormat="1" ht="30.75" customHeight="1" thickBot="1">
      <c r="A8" s="53"/>
      <c r="B8" s="401" t="s">
        <v>496</v>
      </c>
      <c r="C8" s="402"/>
      <c r="D8" s="403"/>
      <c r="E8" s="409" t="s">
        <v>511</v>
      </c>
      <c r="F8" s="49"/>
      <c r="G8" s="50"/>
      <c r="H8" s="50"/>
      <c r="I8" s="50"/>
      <c r="J8" s="50"/>
      <c r="K8" s="50"/>
      <c r="L8" s="50"/>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c r="BD8" s="62"/>
      <c r="BE8" s="62"/>
    </row>
    <row r="9" spans="1:57" s="5" customFormat="1" ht="33.200000000000003" customHeight="1">
      <c r="A9" s="53"/>
      <c r="B9" s="308" t="s">
        <v>11</v>
      </c>
      <c r="C9" s="309" t="s">
        <v>812</v>
      </c>
      <c r="D9" s="310" t="s">
        <v>813</v>
      </c>
      <c r="E9" s="410"/>
      <c r="F9" s="49"/>
      <c r="G9" s="50"/>
      <c r="H9" s="50"/>
      <c r="I9" s="50"/>
      <c r="J9" s="50"/>
      <c r="K9" s="259"/>
      <c r="L9" s="393" t="s">
        <v>1061</v>
      </c>
      <c r="M9" s="393"/>
      <c r="N9" s="393"/>
      <c r="O9" s="393"/>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row>
    <row r="10" spans="1:57" s="5" customFormat="1" ht="35.25" customHeight="1">
      <c r="A10" s="53"/>
      <c r="B10" s="311" t="s">
        <v>811</v>
      </c>
      <c r="C10" s="313"/>
      <c r="D10" s="313"/>
      <c r="E10" s="231" t="s">
        <v>505</v>
      </c>
      <c r="F10" s="49"/>
      <c r="G10" s="50"/>
      <c r="H10" s="50"/>
      <c r="I10" s="50"/>
      <c r="J10" s="50"/>
      <c r="K10" s="259" t="s">
        <v>816</v>
      </c>
      <c r="L10" s="50" t="s">
        <v>817</v>
      </c>
      <c r="M10" s="50"/>
      <c r="N10" s="50"/>
      <c r="O10" s="50"/>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2"/>
      <c r="AY10" s="62"/>
      <c r="AZ10" s="62"/>
      <c r="BA10" s="62"/>
      <c r="BB10" s="62"/>
      <c r="BC10" s="62"/>
      <c r="BD10" s="62"/>
      <c r="BE10" s="62"/>
    </row>
    <row r="11" spans="1:57" s="5" customFormat="1" ht="33.75" customHeight="1">
      <c r="A11" s="53"/>
      <c r="B11" s="311" t="s">
        <v>846</v>
      </c>
      <c r="C11" s="314"/>
      <c r="D11" s="316"/>
      <c r="E11" s="231" t="s">
        <v>505</v>
      </c>
      <c r="F11" s="49"/>
      <c r="G11" s="50"/>
      <c r="H11" s="50"/>
      <c r="I11" s="50"/>
      <c r="J11" s="50"/>
      <c r="K11" s="259" t="s">
        <v>814</v>
      </c>
      <c r="L11" s="315" t="e">
        <f>((C16-C14)/C14)</f>
        <v>#DIV/0!</v>
      </c>
      <c r="M11" s="50"/>
      <c r="N11" s="259" t="s">
        <v>1059</v>
      </c>
      <c r="O11" s="315" t="e">
        <f>((L11/(C15-C13)))</f>
        <v>#DIV/0!</v>
      </c>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row>
    <row r="12" spans="1:57" s="5" customFormat="1" ht="44.25" customHeight="1">
      <c r="A12" s="53"/>
      <c r="B12" s="311" t="s">
        <v>853</v>
      </c>
      <c r="C12" s="312"/>
      <c r="D12" s="312"/>
      <c r="E12" s="231" t="s">
        <v>505</v>
      </c>
      <c r="F12" s="49"/>
      <c r="G12" s="50"/>
      <c r="H12" s="50"/>
      <c r="I12" s="50"/>
      <c r="J12" s="50"/>
      <c r="K12" s="259" t="s">
        <v>815</v>
      </c>
      <c r="L12" s="343" t="e">
        <f>((D16-D14)/D14)</f>
        <v>#DIV/0!</v>
      </c>
      <c r="M12" s="50"/>
      <c r="N12" s="259" t="s">
        <v>1060</v>
      </c>
      <c r="O12" s="315" t="e">
        <f>((L12/(D15-D13)))</f>
        <v>#DIV/0!</v>
      </c>
      <c r="P12" s="62"/>
      <c r="Q12" s="62"/>
      <c r="R12" s="62"/>
      <c r="S12" s="62"/>
      <c r="T12" s="62"/>
      <c r="U12" s="62"/>
      <c r="V12" s="62"/>
      <c r="W12" s="62"/>
      <c r="X12" s="62"/>
      <c r="Y12" s="62"/>
      <c r="Z12" s="62"/>
      <c r="AA12" s="62"/>
      <c r="AB12" s="62"/>
      <c r="AC12" s="62"/>
      <c r="AD12" s="62"/>
      <c r="AE12" s="62"/>
      <c r="AF12" s="62"/>
      <c r="AG12" s="62"/>
      <c r="AH12" s="62"/>
      <c r="AI12" s="62"/>
      <c r="AJ12" s="62"/>
      <c r="AK12" s="62"/>
      <c r="AL12" s="62"/>
      <c r="AM12" s="62"/>
      <c r="AN12" s="62"/>
      <c r="AO12" s="62"/>
      <c r="AP12" s="62"/>
    </row>
    <row r="13" spans="1:57" s="5" customFormat="1" ht="35.25" customHeight="1">
      <c r="A13" s="53"/>
      <c r="B13" s="311" t="s">
        <v>847</v>
      </c>
      <c r="C13" s="313"/>
      <c r="D13" s="313"/>
      <c r="E13" s="231" t="s">
        <v>505</v>
      </c>
      <c r="F13" s="49"/>
      <c r="G13" s="50"/>
      <c r="H13" s="50"/>
      <c r="I13" s="50"/>
      <c r="J13" s="50"/>
      <c r="K13" s="50"/>
      <c r="L13" s="50"/>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row>
    <row r="14" spans="1:57" s="5" customFormat="1" ht="44.25" customHeight="1">
      <c r="A14" s="53"/>
      <c r="B14" s="311" t="s">
        <v>852</v>
      </c>
      <c r="C14" s="312"/>
      <c r="D14" s="312"/>
      <c r="E14" s="231" t="s">
        <v>505</v>
      </c>
      <c r="F14" s="49"/>
      <c r="G14" s="50"/>
      <c r="H14" s="50"/>
      <c r="I14" s="50"/>
      <c r="J14" s="50"/>
      <c r="K14" s="50"/>
      <c r="L14" s="50"/>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row>
    <row r="15" spans="1:57" s="5" customFormat="1" ht="42" customHeight="1">
      <c r="A15" s="53"/>
      <c r="B15" s="311" t="s">
        <v>850</v>
      </c>
      <c r="C15" s="313"/>
      <c r="D15" s="313"/>
      <c r="E15" s="231" t="s">
        <v>505</v>
      </c>
      <c r="F15" s="49"/>
      <c r="G15" s="50"/>
      <c r="H15" s="50"/>
      <c r="I15" s="50"/>
      <c r="J15" s="50"/>
      <c r="K15" s="50"/>
      <c r="L15" s="50">
        <f>SUM(M15:M16)</f>
        <v>0</v>
      </c>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row>
    <row r="16" spans="1:57" s="5" customFormat="1" ht="42" customHeight="1">
      <c r="A16" s="53"/>
      <c r="B16" s="311" t="s">
        <v>851</v>
      </c>
      <c r="C16" s="312"/>
      <c r="D16" s="312"/>
      <c r="E16" s="231" t="s">
        <v>505</v>
      </c>
      <c r="F16" s="49"/>
      <c r="G16" s="50"/>
      <c r="H16" s="50"/>
      <c r="I16" s="50"/>
      <c r="J16" s="50"/>
      <c r="K16" s="50"/>
      <c r="L16" s="50"/>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row>
    <row r="17" spans="1:42" s="5" customFormat="1" ht="21">
      <c r="A17" s="53"/>
      <c r="B17" s="53"/>
      <c r="C17" s="53"/>
      <c r="D17" s="49"/>
      <c r="E17" s="49"/>
      <c r="F17" s="49"/>
      <c r="G17" s="50"/>
      <c r="H17" s="50"/>
      <c r="I17" s="50"/>
      <c r="J17" s="50"/>
      <c r="K17" s="50"/>
      <c r="L17" s="50"/>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row>
    <row r="18" spans="1:42" s="5" customFormat="1" ht="21">
      <c r="A18" s="53"/>
      <c r="B18" s="53"/>
      <c r="C18" s="53"/>
      <c r="D18" s="49"/>
      <c r="E18" s="49"/>
      <c r="F18" s="49"/>
      <c r="G18" s="50"/>
      <c r="H18" s="50"/>
      <c r="I18" s="50"/>
      <c r="J18" s="50"/>
      <c r="K18" s="50"/>
      <c r="L18" s="50"/>
      <c r="M18" s="62"/>
      <c r="N18" s="62"/>
      <c r="O18" s="62"/>
      <c r="P18" s="62"/>
      <c r="Q18" s="62"/>
      <c r="R18" s="62"/>
      <c r="S18" s="62"/>
      <c r="T18" s="62"/>
      <c r="U18" s="62"/>
      <c r="V18" s="62"/>
      <c r="W18" s="62"/>
      <c r="X18" s="62"/>
      <c r="Y18" s="62"/>
      <c r="Z18" s="62"/>
      <c r="AA18" s="62"/>
      <c r="AB18" s="62"/>
      <c r="AC18" s="62"/>
      <c r="AD18" s="62"/>
      <c r="AE18" s="62"/>
      <c r="AF18" s="62"/>
      <c r="AG18" s="62"/>
      <c r="AH18" s="62"/>
      <c r="AI18" s="62"/>
      <c r="AJ18" s="62"/>
      <c r="AK18" s="62"/>
      <c r="AL18" s="62"/>
      <c r="AM18" s="62"/>
      <c r="AN18" s="62"/>
      <c r="AO18" s="62"/>
      <c r="AP18" s="62"/>
    </row>
    <row r="19" spans="1:42" s="50" customFormat="1" ht="21.75" thickBot="1">
      <c r="A19" s="59" t="s">
        <v>838</v>
      </c>
      <c r="B19" s="49"/>
      <c r="C19" s="49"/>
      <c r="D19" s="49"/>
      <c r="E19" s="49"/>
      <c r="F19" s="49"/>
      <c r="M19" s="62"/>
      <c r="N19" s="62"/>
      <c r="O19" s="62"/>
      <c r="P19" s="62"/>
      <c r="Q19" s="62"/>
      <c r="R19" s="62"/>
      <c r="S19" s="62"/>
      <c r="T19" s="62"/>
      <c r="U19" s="62"/>
      <c r="V19" s="62"/>
      <c r="W19" s="62"/>
      <c r="X19" s="62"/>
      <c r="Y19" s="62"/>
      <c r="Z19" s="62"/>
      <c r="AA19" s="62"/>
      <c r="AB19" s="62"/>
      <c r="AC19" s="62"/>
      <c r="AD19" s="62"/>
      <c r="AE19" s="62"/>
      <c r="AF19" s="62"/>
      <c r="AG19" s="62"/>
      <c r="AH19" s="62"/>
      <c r="AI19" s="62"/>
      <c r="AJ19" s="62"/>
      <c r="AK19" s="62"/>
      <c r="AL19" s="62"/>
      <c r="AM19" s="62"/>
      <c r="AN19" s="62"/>
      <c r="AO19" s="62"/>
      <c r="AP19" s="62"/>
    </row>
    <row r="20" spans="1:42" ht="26.25" outlineLevel="1">
      <c r="A20" s="69" t="s">
        <v>58</v>
      </c>
      <c r="B20" s="70" t="s">
        <v>11</v>
      </c>
      <c r="C20" s="70" t="s">
        <v>450</v>
      </c>
      <c r="D20" s="70" t="s">
        <v>527</v>
      </c>
      <c r="E20" s="70" t="s">
        <v>1</v>
      </c>
      <c r="F20" s="94" t="s">
        <v>511</v>
      </c>
      <c r="G20" s="50"/>
      <c r="H20" s="50"/>
      <c r="I20" s="50"/>
      <c r="J20" s="50"/>
      <c r="K20" s="50"/>
      <c r="L20" s="259" t="s">
        <v>638</v>
      </c>
      <c r="M20" s="62"/>
      <c r="N20" s="62"/>
      <c r="O20" s="62"/>
      <c r="P20" s="62"/>
      <c r="Q20" s="62"/>
      <c r="R20" s="62"/>
      <c r="S20" s="62"/>
      <c r="T20" s="62"/>
      <c r="U20" s="62"/>
      <c r="V20" s="62"/>
      <c r="W20" s="62"/>
      <c r="X20" s="62"/>
      <c r="Y20" s="62"/>
      <c r="Z20" s="62"/>
      <c r="AA20" s="62"/>
      <c r="AB20" s="62"/>
      <c r="AC20" s="62"/>
      <c r="AD20" s="62"/>
      <c r="AE20" s="62"/>
      <c r="AF20" s="62"/>
      <c r="AG20" s="62"/>
      <c r="AH20" s="62"/>
      <c r="AI20" s="62"/>
      <c r="AJ20" s="62"/>
      <c r="AK20" s="62"/>
      <c r="AL20" s="62"/>
      <c r="AM20" s="62"/>
      <c r="AN20" s="62"/>
      <c r="AO20" s="62"/>
      <c r="AP20" s="62"/>
    </row>
    <row r="21" spans="1:42" ht="91.5" customHeight="1" outlineLevel="1">
      <c r="A21" s="71" t="s">
        <v>694</v>
      </c>
      <c r="B21" s="45" t="s">
        <v>854</v>
      </c>
      <c r="C21" s="32"/>
      <c r="D21" s="30"/>
      <c r="E21" s="163" t="str">
        <f>IF(D21=B72,1.5,IF(D21=C72,1,IF(D21=D72,0.5,"")))</f>
        <v/>
      </c>
      <c r="F21" s="72" t="s">
        <v>505</v>
      </c>
      <c r="G21" s="50"/>
      <c r="H21" s="50"/>
      <c r="I21" s="50"/>
      <c r="J21" s="50"/>
      <c r="K21" s="50"/>
      <c r="L21" s="116" t="s">
        <v>636</v>
      </c>
      <c r="M21" s="62">
        <f>SUM(E21,E28)</f>
        <v>0</v>
      </c>
      <c r="N21" s="62"/>
      <c r="O21" s="62" t="s">
        <v>824</v>
      </c>
      <c r="P21" s="62"/>
      <c r="Q21" s="62" t="str">
        <f>IF(AND(E22="",E23="",E29="",E30=""),"",IF(SUM(E22:E23)&gt;SUM(E29:E30),SUM(E22:E23),SUM(E29:E30)))</f>
        <v/>
      </c>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2"/>
    </row>
    <row r="22" spans="1:42" ht="54.75" customHeight="1" outlineLevel="1">
      <c r="A22" s="141" t="s">
        <v>540</v>
      </c>
      <c r="B22" s="206" t="s">
        <v>621</v>
      </c>
      <c r="C22" s="354" t="str">
        <f>IF(AND(C10="",C11="",C12="",C13="",C14=""),"",(1-(((1-$C$11)*$C$12)/$C$14))/($C$10-$C$13))</f>
        <v/>
      </c>
      <c r="D22" s="29"/>
      <c r="E22" s="165" t="str">
        <f>IF(D22=B73,2,IF(D22=C73,1,IF(D22=D73,0,"")))</f>
        <v/>
      </c>
      <c r="F22" s="72" t="s">
        <v>505</v>
      </c>
      <c r="G22" s="50"/>
      <c r="H22" s="50"/>
      <c r="I22" s="62"/>
      <c r="J22" s="62"/>
      <c r="K22" s="62"/>
      <c r="L22" s="122" t="s">
        <v>637</v>
      </c>
      <c r="M22" s="62">
        <f>IF(SUM(E22:E23)&gt;SUM(E29:E30),SUM(E22:E23),SUM(E29:E30))</f>
        <v>0</v>
      </c>
      <c r="N22" s="62"/>
      <c r="O22" s="62" t="s">
        <v>827</v>
      </c>
      <c r="P22" s="62" t="str">
        <f>IF(AND(E24="",E31=""),"",IF(SUM(E24,E31)=0,0,IF(SUM(E24,E31)&gt;0,1,"")))</f>
        <v/>
      </c>
      <c r="Q22" s="62"/>
      <c r="R22" s="62"/>
      <c r="S22" s="62"/>
      <c r="T22" s="62"/>
      <c r="U22" s="62"/>
      <c r="V22" s="62"/>
      <c r="W22" s="62"/>
      <c r="X22" s="62"/>
      <c r="Y22" s="62"/>
      <c r="Z22" s="62"/>
      <c r="AA22" s="62"/>
      <c r="AB22" s="62"/>
      <c r="AC22" s="62"/>
      <c r="AD22" s="62"/>
      <c r="AE22" s="62"/>
      <c r="AF22" s="62"/>
      <c r="AG22" s="62"/>
      <c r="AH22" s="62"/>
      <c r="AI22" s="62"/>
      <c r="AJ22" s="62"/>
      <c r="AK22" s="62"/>
      <c r="AL22" s="62"/>
      <c r="AM22" s="62"/>
      <c r="AN22" s="62"/>
      <c r="AO22" s="62"/>
      <c r="AP22" s="62"/>
    </row>
    <row r="23" spans="1:42" ht="52.5" customHeight="1" outlineLevel="1">
      <c r="A23" s="251" t="s">
        <v>529</v>
      </c>
      <c r="B23" s="206" t="s">
        <v>828</v>
      </c>
      <c r="C23" s="354" t="str">
        <f>IF(AND(C10="",C13="",C15=""),"",((O11*(C10-C15)+L11)*C14)/C12*-1)</f>
        <v/>
      </c>
      <c r="D23" s="30"/>
      <c r="E23" s="163" t="str">
        <f>IF(D23=B74,2,IF(D23=C74,1,IF(D23=D74,0,"")))</f>
        <v/>
      </c>
      <c r="F23" s="92" t="s">
        <v>505</v>
      </c>
      <c r="G23" s="50"/>
      <c r="H23" s="50"/>
      <c r="I23" s="62"/>
      <c r="J23" s="62"/>
      <c r="K23" s="62"/>
      <c r="L23" s="263"/>
      <c r="M23" s="62" t="s">
        <v>639</v>
      </c>
      <c r="N23" s="62"/>
      <c r="O23" s="62"/>
      <c r="R23" s="62"/>
      <c r="S23" s="62"/>
      <c r="T23" s="62"/>
      <c r="U23" s="62"/>
      <c r="V23" s="62"/>
      <c r="W23" s="62"/>
      <c r="X23" s="62"/>
      <c r="Y23" s="62"/>
      <c r="Z23" s="62"/>
      <c r="AA23" s="62"/>
      <c r="AB23" s="62"/>
      <c r="AC23" s="62"/>
      <c r="AD23" s="62"/>
      <c r="AE23" s="62"/>
      <c r="AF23" s="62"/>
      <c r="AG23" s="62"/>
      <c r="AH23" s="62"/>
      <c r="AI23" s="62"/>
      <c r="AJ23" s="62"/>
      <c r="AK23" s="62"/>
      <c r="AL23" s="62"/>
      <c r="AM23" s="62"/>
      <c r="AN23" s="62"/>
      <c r="AO23" s="62"/>
      <c r="AP23" s="62"/>
    </row>
    <row r="24" spans="1:42" ht="45.75" outlineLevel="1" thickBot="1">
      <c r="A24" s="242" t="s">
        <v>451</v>
      </c>
      <c r="B24" s="216" t="s">
        <v>622</v>
      </c>
      <c r="C24" s="75"/>
      <c r="D24" s="75"/>
      <c r="E24" s="247" t="str">
        <f>IF(D24=B75,1,IF(D24=C75,0,""))</f>
        <v/>
      </c>
      <c r="F24" s="76" t="s">
        <v>505</v>
      </c>
      <c r="G24" s="5"/>
      <c r="H24" s="50"/>
      <c r="I24" s="62"/>
      <c r="J24" s="62"/>
      <c r="K24" s="62"/>
      <c r="L24" s="2" t="s">
        <v>640</v>
      </c>
      <c r="M24" s="167">
        <f>SUM(M21:M22,P22)</f>
        <v>0</v>
      </c>
      <c r="N24" s="62"/>
      <c r="O24" s="62"/>
      <c r="P24" s="259" t="s">
        <v>816</v>
      </c>
      <c r="Q24" s="50" t="s">
        <v>817</v>
      </c>
      <c r="R24" s="62"/>
      <c r="S24" s="62"/>
      <c r="T24" s="62"/>
      <c r="U24" s="62"/>
      <c r="V24" s="62"/>
      <c r="W24" s="62"/>
      <c r="X24" s="62"/>
      <c r="Y24" s="62"/>
      <c r="Z24" s="62"/>
      <c r="AA24" s="62"/>
      <c r="AB24" s="62"/>
      <c r="AC24" s="62"/>
      <c r="AD24" s="62"/>
      <c r="AE24" s="62"/>
      <c r="AF24" s="62"/>
      <c r="AG24" s="62"/>
      <c r="AH24" s="62"/>
      <c r="AI24" s="62"/>
      <c r="AJ24" s="62"/>
      <c r="AK24" s="62"/>
      <c r="AL24" s="62"/>
      <c r="AM24" s="62"/>
      <c r="AN24" s="62"/>
      <c r="AO24" s="62"/>
      <c r="AP24" s="62"/>
    </row>
    <row r="25" spans="1:42" customFormat="1" ht="15.75">
      <c r="A25" s="227"/>
      <c r="B25" s="227"/>
      <c r="C25" s="80"/>
      <c r="D25" s="80"/>
      <c r="E25" s="227"/>
      <c r="F25" s="80"/>
      <c r="G25" s="62"/>
      <c r="H25" s="62"/>
      <c r="I25" s="62"/>
      <c r="J25" s="62"/>
      <c r="K25" s="62"/>
      <c r="L25" s="2" t="s">
        <v>642</v>
      </c>
      <c r="M25" s="167">
        <f>SUM(E38:E39)</f>
        <v>0</v>
      </c>
      <c r="N25" s="62"/>
      <c r="O25" s="62"/>
      <c r="P25" s="259" t="s">
        <v>814</v>
      </c>
      <c r="Q25" s="315" t="e">
        <f>((C16-C14)/C14)</f>
        <v>#DIV/0!</v>
      </c>
      <c r="R25" s="62"/>
      <c r="S25" s="62"/>
      <c r="T25" s="62"/>
      <c r="U25" s="62"/>
      <c r="V25" s="62"/>
      <c r="W25" s="62"/>
      <c r="X25" s="62"/>
      <c r="Y25" s="62"/>
      <c r="Z25" s="62"/>
      <c r="AA25" s="62"/>
      <c r="AB25" s="62"/>
      <c r="AC25" s="62"/>
      <c r="AD25" s="62"/>
      <c r="AE25" s="62"/>
      <c r="AF25" s="62"/>
      <c r="AG25" s="62"/>
      <c r="AH25" s="62"/>
      <c r="AI25" s="62"/>
      <c r="AJ25" s="62"/>
      <c r="AK25" s="62"/>
      <c r="AL25" s="62"/>
      <c r="AM25" s="62"/>
      <c r="AN25" s="62"/>
      <c r="AO25" s="62"/>
      <c r="AP25" s="62"/>
    </row>
    <row r="26" spans="1:42" customFormat="1" ht="21.75" thickBot="1">
      <c r="A26" s="59" t="s">
        <v>620</v>
      </c>
      <c r="B26" s="50"/>
      <c r="C26" s="80"/>
      <c r="D26" s="80"/>
      <c r="E26" s="50"/>
      <c r="F26" s="80"/>
      <c r="G26" s="62"/>
      <c r="H26" s="62"/>
      <c r="I26" s="62"/>
      <c r="J26" s="62"/>
      <c r="K26" s="62"/>
      <c r="L26" s="5" t="s">
        <v>641</v>
      </c>
      <c r="M26" s="282">
        <f>SUM(E44:E45)</f>
        <v>0</v>
      </c>
      <c r="N26" s="62"/>
      <c r="O26" s="62"/>
      <c r="P26" s="259" t="s">
        <v>815</v>
      </c>
      <c r="Q26" s="315" t="e">
        <f>((D16-D14)/D14)</f>
        <v>#DIV/0!</v>
      </c>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row>
    <row r="27" spans="1:42" customFormat="1" ht="38.25" customHeight="1">
      <c r="A27" s="214" t="s">
        <v>58</v>
      </c>
      <c r="B27" s="215" t="s">
        <v>11</v>
      </c>
      <c r="C27" s="215" t="s">
        <v>450</v>
      </c>
      <c r="D27" s="215" t="s">
        <v>527</v>
      </c>
      <c r="E27" s="215" t="s">
        <v>1</v>
      </c>
      <c r="F27" s="94" t="s">
        <v>511</v>
      </c>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2"/>
      <c r="AL27" s="62"/>
      <c r="AM27" s="62"/>
      <c r="AN27" s="62"/>
      <c r="AO27" s="62"/>
      <c r="AP27" s="62"/>
    </row>
    <row r="28" spans="1:42" customFormat="1" ht="75">
      <c r="A28" s="288" t="s">
        <v>694</v>
      </c>
      <c r="B28" s="45" t="s">
        <v>855</v>
      </c>
      <c r="C28" s="32"/>
      <c r="D28" s="30"/>
      <c r="E28" s="163" t="str">
        <f>IF(D28=B77,1,IF(D28=C77,0.5,""))</f>
        <v/>
      </c>
      <c r="F28" s="72" t="s">
        <v>505</v>
      </c>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62"/>
      <c r="AL28" s="62"/>
      <c r="AM28" s="62"/>
      <c r="AN28" s="62"/>
      <c r="AO28" s="62"/>
      <c r="AP28" s="62"/>
    </row>
    <row r="29" spans="1:42" customFormat="1" ht="48" customHeight="1">
      <c r="A29" s="262" t="s">
        <v>540</v>
      </c>
      <c r="B29" s="206" t="s">
        <v>623</v>
      </c>
      <c r="C29" s="354" t="str">
        <f>IF(AND(D10="",D11="",D12="",D13="",D14=""),"",(1-(((1-$D$11)*$D$12)/$D$14))/($D$10-$D$13))</f>
        <v/>
      </c>
      <c r="D29" s="29"/>
      <c r="E29" s="165" t="str">
        <f>IF(D29=B78,2,IF(D29=C78,1,IF(D29=D78,0,"")))</f>
        <v/>
      </c>
      <c r="F29" s="72" t="s">
        <v>505</v>
      </c>
      <c r="G29" s="62"/>
      <c r="H29" s="62"/>
      <c r="I29" s="62"/>
      <c r="J29" s="62"/>
      <c r="K29" s="62"/>
      <c r="L29" s="62"/>
      <c r="M29" s="62"/>
      <c r="N29" s="62"/>
      <c r="O29" s="62"/>
      <c r="P29" s="62"/>
      <c r="Q29" s="62"/>
      <c r="R29" s="62"/>
      <c r="S29" s="62"/>
      <c r="T29" s="62"/>
      <c r="U29" s="62"/>
      <c r="V29" s="62"/>
      <c r="W29" s="62"/>
      <c r="X29" s="62"/>
      <c r="Y29" s="62"/>
      <c r="Z29" s="62"/>
      <c r="AA29" s="80"/>
      <c r="AB29" s="80"/>
      <c r="AC29" s="80"/>
      <c r="AD29" s="80"/>
      <c r="AE29" s="80"/>
      <c r="AF29" s="80"/>
      <c r="AG29" s="62"/>
      <c r="AH29" s="62"/>
      <c r="AI29" s="62"/>
      <c r="AJ29" s="62"/>
      <c r="AK29" s="62"/>
      <c r="AL29" s="62"/>
      <c r="AM29" s="62"/>
      <c r="AN29" s="62"/>
      <c r="AO29" s="62"/>
      <c r="AP29" s="62"/>
    </row>
    <row r="30" spans="1:42" customFormat="1" ht="42" customHeight="1">
      <c r="A30" s="262" t="s">
        <v>529</v>
      </c>
      <c r="B30" s="206" t="s">
        <v>829</v>
      </c>
      <c r="C30" s="354" t="str">
        <f>IF(AND(D10="",D13="",D15=""),"",((O12*(D10-D15)+L12)*D14)/D12*-1)</f>
        <v/>
      </c>
      <c r="D30" s="30"/>
      <c r="E30" s="163" t="str">
        <f>IF(D30=B79,2,IF(D30=C79,1,IF(D30=D79,0,"")))</f>
        <v/>
      </c>
      <c r="F30" s="92" t="s">
        <v>505</v>
      </c>
      <c r="G30" s="62"/>
      <c r="H30" s="62"/>
      <c r="I30" s="62"/>
      <c r="J30" s="62"/>
      <c r="K30" s="62"/>
      <c r="L30" s="62"/>
      <c r="M30" s="62"/>
      <c r="N30" s="62"/>
      <c r="O30" s="62"/>
      <c r="P30" s="62"/>
      <c r="Q30" s="62"/>
      <c r="R30" s="62"/>
      <c r="S30" s="62"/>
      <c r="T30" s="62"/>
      <c r="U30" s="62"/>
      <c r="V30" s="62"/>
      <c r="W30" s="62"/>
      <c r="X30" s="62"/>
      <c r="Y30" s="62"/>
      <c r="Z30" s="62"/>
      <c r="AA30" s="80"/>
      <c r="AB30" s="80"/>
      <c r="AC30" s="80"/>
      <c r="AD30" s="80"/>
      <c r="AE30" s="80"/>
      <c r="AF30" s="80"/>
      <c r="AG30" s="62"/>
      <c r="AH30" s="62"/>
      <c r="AI30" s="62"/>
      <c r="AJ30" s="62"/>
      <c r="AK30" s="62"/>
      <c r="AL30" s="62"/>
      <c r="AM30" s="62"/>
      <c r="AN30" s="62"/>
      <c r="AO30" s="62"/>
      <c r="AP30" s="62"/>
    </row>
    <row r="31" spans="1:42" customFormat="1" ht="45.75" thickBot="1">
      <c r="A31" s="261" t="s">
        <v>451</v>
      </c>
      <c r="B31" s="216" t="s">
        <v>624</v>
      </c>
      <c r="C31" s="75"/>
      <c r="D31" s="75"/>
      <c r="E31" s="247" t="str">
        <f>IF(D31=B80,1,IF(D31=C80,0,""))</f>
        <v/>
      </c>
      <c r="F31" s="76" t="s">
        <v>505</v>
      </c>
      <c r="G31" s="62"/>
      <c r="H31" s="62"/>
      <c r="I31" s="62"/>
      <c r="J31" s="62"/>
      <c r="K31" s="62"/>
      <c r="L31" s="62"/>
      <c r="M31" s="62"/>
      <c r="N31" s="62"/>
      <c r="O31" s="62"/>
      <c r="P31" s="62"/>
      <c r="Q31" s="62"/>
      <c r="R31" s="62"/>
      <c r="S31" s="62"/>
      <c r="T31" s="62"/>
      <c r="U31" s="62"/>
      <c r="V31" s="62"/>
      <c r="W31" s="62"/>
      <c r="X31" s="62"/>
      <c r="Y31" s="62"/>
      <c r="Z31" s="62"/>
      <c r="AA31" s="80"/>
      <c r="AB31" s="80"/>
      <c r="AC31" s="80"/>
      <c r="AD31" s="80"/>
      <c r="AE31" s="80"/>
      <c r="AF31" s="80"/>
      <c r="AG31" s="62"/>
      <c r="AH31" s="62"/>
      <c r="AI31" s="62"/>
      <c r="AJ31" s="62"/>
      <c r="AK31" s="62"/>
      <c r="AL31" s="62"/>
      <c r="AM31" s="62"/>
      <c r="AN31" s="62"/>
      <c r="AO31" s="62"/>
      <c r="AP31" s="62"/>
    </row>
    <row r="32" spans="1:42" customFormat="1">
      <c r="A32" s="227"/>
      <c r="B32" s="227"/>
      <c r="C32" s="80"/>
      <c r="D32" s="80"/>
      <c r="E32" s="227"/>
      <c r="F32" s="80"/>
      <c r="G32" s="62"/>
      <c r="H32" s="62"/>
      <c r="I32" s="62"/>
      <c r="J32" s="62"/>
      <c r="K32" s="62"/>
      <c r="L32" s="62"/>
      <c r="M32" s="62"/>
      <c r="N32" s="62"/>
      <c r="O32" s="62"/>
      <c r="P32" s="62"/>
      <c r="Q32" s="62"/>
      <c r="R32" s="62"/>
      <c r="S32" s="62"/>
      <c r="T32" s="62"/>
      <c r="U32" s="62"/>
      <c r="V32" s="62"/>
      <c r="W32" s="62"/>
      <c r="X32" s="62"/>
      <c r="Y32" s="62"/>
      <c r="Z32" s="62"/>
      <c r="AA32" s="80"/>
      <c r="AB32" s="80"/>
      <c r="AC32" s="80"/>
      <c r="AD32" s="80"/>
      <c r="AE32" s="80"/>
      <c r="AF32" s="80"/>
      <c r="AG32" s="62"/>
      <c r="AH32" s="62"/>
      <c r="AI32" s="62"/>
      <c r="AJ32" s="62"/>
      <c r="AK32" s="62"/>
      <c r="AL32" s="62"/>
      <c r="AM32" s="62"/>
      <c r="AN32" s="62"/>
      <c r="AO32" s="62"/>
      <c r="AP32" s="62"/>
    </row>
    <row r="33" spans="1:42" customFormat="1">
      <c r="A33" s="50"/>
      <c r="B33" s="50"/>
      <c r="C33" s="80"/>
      <c r="D33" s="80"/>
      <c r="E33" s="50"/>
      <c r="F33" s="80"/>
      <c r="G33" s="62"/>
      <c r="H33" s="62"/>
      <c r="I33" s="62"/>
      <c r="J33" s="62"/>
      <c r="K33" s="62"/>
      <c r="L33" s="62"/>
      <c r="M33" s="62"/>
      <c r="N33" s="62"/>
      <c r="O33" s="62"/>
      <c r="P33" s="62"/>
      <c r="Q33" s="62"/>
      <c r="R33" s="62"/>
      <c r="S33" s="62"/>
      <c r="T33" s="62"/>
      <c r="U33" s="62"/>
      <c r="V33" s="62"/>
      <c r="W33" s="62"/>
      <c r="X33" s="62"/>
      <c r="Y33" s="62"/>
      <c r="Z33" s="62"/>
      <c r="AA33" s="80"/>
      <c r="AB33" s="80"/>
      <c r="AC33" s="80"/>
      <c r="AD33" s="80"/>
      <c r="AE33" s="80"/>
      <c r="AF33" s="80"/>
      <c r="AG33" s="62"/>
      <c r="AH33" s="62"/>
      <c r="AI33" s="62"/>
      <c r="AJ33" s="62"/>
      <c r="AK33" s="62"/>
      <c r="AL33" s="62"/>
      <c r="AM33" s="62"/>
      <c r="AN33" s="62"/>
      <c r="AO33" s="62"/>
      <c r="AP33" s="62"/>
    </row>
    <row r="34" spans="1:42" customFormat="1">
      <c r="A34" s="50"/>
      <c r="B34" s="50"/>
      <c r="C34" s="80"/>
      <c r="D34" s="80"/>
      <c r="E34" s="50"/>
      <c r="F34" s="80"/>
      <c r="G34" s="62"/>
      <c r="H34" s="62"/>
      <c r="I34" s="62"/>
      <c r="J34" s="62"/>
      <c r="K34" s="62"/>
      <c r="L34" s="62"/>
      <c r="M34" s="62"/>
      <c r="N34" s="62"/>
      <c r="O34" s="62"/>
      <c r="P34" s="62"/>
      <c r="Q34" s="62"/>
      <c r="R34" s="62"/>
      <c r="S34" s="62"/>
      <c r="T34" s="62"/>
      <c r="U34" s="62"/>
      <c r="V34" s="62"/>
      <c r="W34" s="62"/>
      <c r="X34" s="62"/>
      <c r="Y34" s="62"/>
      <c r="Z34" s="62"/>
      <c r="AA34" s="80"/>
      <c r="AB34" s="80"/>
      <c r="AC34" s="80"/>
      <c r="AD34" s="80"/>
      <c r="AE34" s="80"/>
      <c r="AF34" s="80"/>
      <c r="AG34" s="62"/>
      <c r="AH34" s="62"/>
      <c r="AI34" s="62"/>
      <c r="AJ34" s="62"/>
      <c r="AK34" s="62"/>
      <c r="AL34" s="62"/>
      <c r="AM34" s="62"/>
      <c r="AN34" s="62"/>
      <c r="AO34" s="62"/>
      <c r="AP34" s="62"/>
    </row>
    <row r="35" spans="1:42" customFormat="1">
      <c r="A35" s="50"/>
      <c r="B35" s="50"/>
      <c r="C35" s="80"/>
      <c r="D35" s="80"/>
      <c r="E35" s="50"/>
      <c r="F35" s="80"/>
      <c r="G35" s="62"/>
      <c r="H35" s="62"/>
      <c r="I35" s="62"/>
      <c r="J35" s="62"/>
      <c r="K35" s="62"/>
      <c r="L35" s="62"/>
      <c r="M35" s="62"/>
      <c r="N35" s="62"/>
      <c r="O35" s="62"/>
      <c r="P35" s="62"/>
      <c r="Q35" s="62"/>
      <c r="R35" s="62"/>
      <c r="S35" s="62"/>
      <c r="T35" s="62"/>
      <c r="U35" s="62"/>
      <c r="V35" s="62"/>
      <c r="W35" s="62"/>
      <c r="X35" s="62"/>
      <c r="Y35" s="62"/>
      <c r="Z35" s="62"/>
      <c r="AA35" s="80"/>
      <c r="AB35" s="80"/>
      <c r="AC35" s="80"/>
      <c r="AD35" s="80"/>
      <c r="AE35" s="80"/>
      <c r="AF35" s="80"/>
      <c r="AG35" s="62"/>
      <c r="AH35" s="62"/>
      <c r="AI35" s="62"/>
      <c r="AJ35" s="62"/>
      <c r="AK35" s="62"/>
      <c r="AL35" s="62"/>
      <c r="AM35" s="62"/>
      <c r="AN35" s="62"/>
      <c r="AO35" s="62"/>
      <c r="AP35" s="62"/>
    </row>
    <row r="36" spans="1:42" s="50" customFormat="1" ht="21.75" thickBot="1">
      <c r="A36" s="59" t="s">
        <v>695</v>
      </c>
      <c r="B36" s="49"/>
      <c r="C36" s="49"/>
      <c r="D36" s="49"/>
      <c r="E36" s="49"/>
      <c r="F36" s="49"/>
      <c r="G36" s="62"/>
      <c r="H36" s="62"/>
      <c r="I36" s="62"/>
      <c r="J36" s="62"/>
      <c r="K36" s="62"/>
      <c r="L36" s="62"/>
      <c r="M36" s="62"/>
      <c r="N36" s="62"/>
      <c r="O36" s="62"/>
      <c r="P36" s="62"/>
      <c r="Q36" s="62"/>
      <c r="R36" s="62"/>
      <c r="S36" s="62"/>
      <c r="T36" s="62"/>
      <c r="U36" s="62"/>
      <c r="V36" s="62"/>
      <c r="W36" s="62"/>
      <c r="X36" s="62"/>
      <c r="Y36" s="62"/>
      <c r="Z36" s="62"/>
      <c r="AG36" s="62"/>
      <c r="AH36" s="62"/>
      <c r="AI36" s="62"/>
      <c r="AJ36" s="62"/>
      <c r="AK36" s="62"/>
      <c r="AL36" s="62"/>
      <c r="AM36" s="62"/>
      <c r="AN36" s="62"/>
      <c r="AO36" s="62"/>
      <c r="AP36" s="62"/>
    </row>
    <row r="37" spans="1:42" outlineLevel="1">
      <c r="A37" s="336" t="s">
        <v>58</v>
      </c>
      <c r="B37" s="337" t="s">
        <v>11</v>
      </c>
      <c r="C37" s="337" t="s">
        <v>9</v>
      </c>
      <c r="D37" s="337" t="s">
        <v>510</v>
      </c>
      <c r="E37" s="337" t="s">
        <v>1</v>
      </c>
      <c r="F37" s="89" t="s">
        <v>511</v>
      </c>
      <c r="G37" s="50"/>
      <c r="H37" s="50"/>
      <c r="I37" s="62"/>
      <c r="J37" s="62"/>
      <c r="K37" s="62"/>
      <c r="L37" s="62"/>
      <c r="M37" s="62"/>
      <c r="N37" s="62"/>
      <c r="O37" s="62"/>
      <c r="P37" s="62"/>
      <c r="Q37" s="62"/>
      <c r="R37" s="62"/>
      <c r="S37" s="62"/>
      <c r="T37" s="62"/>
      <c r="U37" s="62"/>
      <c r="V37" s="62"/>
      <c r="W37" s="62"/>
      <c r="X37" s="62"/>
      <c r="Y37" s="62"/>
      <c r="Z37" s="62"/>
      <c r="AA37" s="50"/>
      <c r="AB37" s="50"/>
      <c r="AC37" s="50"/>
      <c r="AD37" s="50"/>
      <c r="AE37" s="50"/>
      <c r="AF37" s="50"/>
      <c r="AG37" s="62"/>
      <c r="AH37" s="62"/>
      <c r="AI37" s="62"/>
      <c r="AJ37" s="62"/>
      <c r="AK37" s="62"/>
      <c r="AL37" s="62"/>
      <c r="AM37" s="62"/>
      <c r="AN37" s="62"/>
      <c r="AO37" s="62"/>
      <c r="AP37" s="62"/>
    </row>
    <row r="38" spans="1:42" ht="174" customHeight="1" outlineLevel="1">
      <c r="A38" s="406" t="s">
        <v>544</v>
      </c>
      <c r="B38" s="45" t="s">
        <v>1014</v>
      </c>
      <c r="C38" s="32"/>
      <c r="D38" s="31"/>
      <c r="E38" s="163" t="str">
        <f>IF(D38=B82,1,IF(D38=C82,0,""))</f>
        <v/>
      </c>
      <c r="F38" s="338" t="s">
        <v>505</v>
      </c>
      <c r="G38" s="5"/>
      <c r="H38" s="50"/>
      <c r="I38" s="62"/>
      <c r="J38" s="62"/>
      <c r="K38" s="62"/>
      <c r="L38" s="62"/>
      <c r="M38" s="62"/>
      <c r="N38" s="62"/>
      <c r="O38" s="62"/>
      <c r="P38" s="62"/>
      <c r="Q38" s="62"/>
      <c r="R38" s="62"/>
      <c r="S38" s="62"/>
      <c r="T38" s="62"/>
      <c r="U38" s="62"/>
      <c r="V38" s="62"/>
      <c r="W38" s="62"/>
      <c r="X38" s="62"/>
      <c r="Y38" s="62"/>
      <c r="Z38" s="62"/>
      <c r="AA38" s="50"/>
      <c r="AB38" s="50"/>
      <c r="AC38" s="50"/>
      <c r="AD38" s="50"/>
      <c r="AE38" s="50"/>
      <c r="AF38" s="50"/>
      <c r="AG38" s="62"/>
      <c r="AH38" s="62"/>
      <c r="AI38" s="62"/>
      <c r="AJ38" s="62"/>
      <c r="AK38" s="62"/>
      <c r="AL38" s="62"/>
      <c r="AM38" s="62"/>
      <c r="AN38" s="62"/>
      <c r="AO38" s="62"/>
      <c r="AP38" s="62"/>
    </row>
    <row r="39" spans="1:42" ht="174" customHeight="1" outlineLevel="1" thickBot="1">
      <c r="A39" s="407"/>
      <c r="B39" s="91" t="s">
        <v>856</v>
      </c>
      <c r="C39" s="74"/>
      <c r="D39" s="77"/>
      <c r="E39" s="164" t="str">
        <f>IF(D39="Yes, the city has pursued at least one activity to assist other community actors with planning for a district energy system.",1,IF(D39="No, the city has not pursued at least one activity to assist other community actors with planning for a district energy system.","0",""))</f>
        <v/>
      </c>
      <c r="F39" s="162" t="s">
        <v>505</v>
      </c>
      <c r="G39" s="50"/>
      <c r="H39" s="62"/>
      <c r="I39" s="62"/>
      <c r="J39" s="62"/>
      <c r="K39" s="62"/>
      <c r="L39" s="62"/>
      <c r="M39" s="62"/>
      <c r="N39" s="62"/>
      <c r="O39" s="62"/>
      <c r="P39" s="62"/>
      <c r="Q39" s="62"/>
      <c r="R39" s="62"/>
      <c r="S39" s="62"/>
      <c r="T39" s="62"/>
      <c r="U39" s="62"/>
      <c r="V39" s="62"/>
      <c r="W39" s="62"/>
      <c r="X39" s="62"/>
      <c r="Y39" s="50"/>
      <c r="Z39" s="50"/>
      <c r="AA39" s="50"/>
      <c r="AB39" s="50"/>
      <c r="AC39" s="50"/>
      <c r="AD39" s="50"/>
      <c r="AE39" s="50"/>
      <c r="AF39" s="50"/>
      <c r="AG39" s="62"/>
      <c r="AH39" s="62"/>
      <c r="AI39" s="62"/>
      <c r="AJ39" s="62"/>
      <c r="AK39" s="62"/>
      <c r="AL39" s="62"/>
      <c r="AM39" s="62"/>
      <c r="AN39" s="62"/>
      <c r="AO39" s="62"/>
      <c r="AP39" s="62"/>
    </row>
    <row r="40" spans="1:42" customFormat="1">
      <c r="A40" s="80"/>
      <c r="B40" s="80"/>
      <c r="C40" s="80"/>
      <c r="D40" s="80"/>
      <c r="E40" s="80"/>
      <c r="F40" s="80"/>
      <c r="G40" s="62"/>
      <c r="H40" s="62"/>
      <c r="I40" s="62"/>
      <c r="J40" s="62"/>
      <c r="K40" s="62"/>
      <c r="L40" s="62"/>
      <c r="M40" s="62"/>
      <c r="N40" s="62"/>
      <c r="O40" s="62"/>
      <c r="P40" s="62"/>
      <c r="Q40" s="62"/>
      <c r="R40" s="62"/>
      <c r="S40" s="62"/>
      <c r="T40" s="62"/>
      <c r="U40" s="62"/>
      <c r="V40" s="62"/>
      <c r="W40" s="62"/>
      <c r="X40" s="62"/>
      <c r="Y40" s="80"/>
      <c r="Z40" s="80"/>
      <c r="AA40" s="80"/>
      <c r="AB40" s="80"/>
      <c r="AC40" s="80"/>
      <c r="AD40" s="80"/>
      <c r="AE40" s="80"/>
      <c r="AF40" s="80"/>
      <c r="AG40" s="62"/>
      <c r="AH40" s="62"/>
      <c r="AI40" s="62"/>
      <c r="AJ40" s="62"/>
      <c r="AK40" s="62"/>
      <c r="AL40" s="62"/>
      <c r="AM40" s="62"/>
      <c r="AN40" s="62"/>
      <c r="AO40" s="62"/>
      <c r="AP40" s="62"/>
    </row>
    <row r="41" spans="1:42" customFormat="1" outlineLevel="1">
      <c r="A41" s="80"/>
      <c r="B41" s="80"/>
      <c r="C41" s="80"/>
      <c r="D41" s="80"/>
      <c r="E41" s="80"/>
      <c r="F41" s="80"/>
      <c r="G41" s="62"/>
      <c r="H41" s="62"/>
      <c r="I41" s="62"/>
      <c r="J41" s="62"/>
      <c r="K41" s="62"/>
      <c r="L41" s="62"/>
      <c r="M41" s="62"/>
      <c r="N41" s="62"/>
      <c r="O41" s="62"/>
      <c r="P41" s="62"/>
      <c r="Q41" s="62"/>
      <c r="R41" s="62"/>
      <c r="S41" s="62"/>
      <c r="T41" s="62"/>
      <c r="U41" s="62"/>
      <c r="V41" s="62"/>
      <c r="W41" s="62"/>
      <c r="X41" s="62"/>
      <c r="Y41" s="80"/>
      <c r="Z41" s="80"/>
      <c r="AA41" s="80"/>
      <c r="AB41" s="80"/>
      <c r="AC41" s="80"/>
      <c r="AD41" s="80"/>
      <c r="AE41" s="80"/>
      <c r="AF41" s="80"/>
      <c r="AG41" s="62"/>
      <c r="AH41" s="62"/>
      <c r="AI41" s="62"/>
      <c r="AJ41" s="62"/>
      <c r="AK41" s="62"/>
      <c r="AL41" s="62"/>
      <c r="AM41" s="62"/>
      <c r="AN41" s="62"/>
      <c r="AO41" s="62"/>
      <c r="AP41" s="62"/>
    </row>
    <row r="42" spans="1:42" s="5" customFormat="1" ht="21.75" thickBot="1">
      <c r="A42" s="59" t="s">
        <v>470</v>
      </c>
      <c r="B42" s="49"/>
      <c r="C42" s="49"/>
      <c r="D42" s="49"/>
      <c r="E42" s="49"/>
      <c r="F42" s="49"/>
      <c r="G42" s="62"/>
      <c r="H42" s="62"/>
      <c r="I42" s="62"/>
      <c r="J42" s="62"/>
      <c r="K42" s="62"/>
      <c r="L42" s="62"/>
      <c r="M42" s="62"/>
      <c r="N42" s="62"/>
      <c r="O42" s="62"/>
      <c r="P42" s="62"/>
      <c r="Q42" s="62"/>
      <c r="R42" s="62"/>
      <c r="S42" s="62"/>
      <c r="T42" s="62"/>
      <c r="U42" s="62"/>
      <c r="V42" s="62"/>
      <c r="W42" s="62"/>
      <c r="X42" s="62"/>
      <c r="Y42" s="50"/>
      <c r="Z42" s="50"/>
      <c r="AA42" s="50"/>
      <c r="AB42" s="50"/>
      <c r="AC42" s="50"/>
      <c r="AD42" s="50"/>
      <c r="AE42" s="50"/>
      <c r="AF42" s="50"/>
      <c r="AG42" s="62"/>
      <c r="AH42" s="62"/>
      <c r="AI42" s="62"/>
      <c r="AJ42" s="62"/>
      <c r="AK42" s="62"/>
      <c r="AL42" s="62"/>
      <c r="AM42" s="62"/>
      <c r="AN42" s="62"/>
      <c r="AO42" s="62"/>
      <c r="AP42" s="62"/>
    </row>
    <row r="43" spans="1:42" outlineLevel="1">
      <c r="A43" s="69" t="s">
        <v>58</v>
      </c>
      <c r="B43" s="70" t="s">
        <v>11</v>
      </c>
      <c r="C43" s="70" t="s">
        <v>9</v>
      </c>
      <c r="D43" s="70" t="s">
        <v>510</v>
      </c>
      <c r="E43" s="70" t="s">
        <v>1</v>
      </c>
      <c r="F43" s="89" t="s">
        <v>511</v>
      </c>
      <c r="G43" s="50"/>
      <c r="H43" s="62"/>
      <c r="I43" s="62"/>
      <c r="J43" s="62"/>
      <c r="K43" s="62"/>
      <c r="L43" s="62"/>
      <c r="M43" s="62"/>
      <c r="N43" s="62"/>
      <c r="O43" s="62"/>
      <c r="P43" s="62"/>
      <c r="Q43" s="62"/>
      <c r="R43" s="62"/>
      <c r="S43" s="62"/>
      <c r="T43" s="62"/>
      <c r="U43" s="62"/>
      <c r="V43" s="62"/>
      <c r="W43" s="62"/>
      <c r="X43" s="62"/>
      <c r="Y43" s="50"/>
      <c r="Z43" s="50"/>
      <c r="AA43" s="50"/>
      <c r="AB43" s="50"/>
      <c r="AC43" s="50"/>
      <c r="AD43" s="50"/>
      <c r="AE43" s="50"/>
      <c r="AF43" s="50"/>
      <c r="AG43" s="62"/>
      <c r="AH43" s="62"/>
      <c r="AI43" s="62"/>
      <c r="AJ43" s="62"/>
      <c r="AK43" s="62"/>
      <c r="AL43" s="62"/>
      <c r="AM43" s="62"/>
      <c r="AN43" s="62"/>
      <c r="AO43" s="62"/>
      <c r="AP43" s="62"/>
    </row>
    <row r="44" spans="1:42" ht="45" outlineLevel="1">
      <c r="A44" s="71" t="s">
        <v>483</v>
      </c>
      <c r="B44" s="45" t="s">
        <v>699</v>
      </c>
      <c r="C44" s="32"/>
      <c r="D44" s="30"/>
      <c r="E44" s="169" t="str">
        <f>IF(D44=B86,0.5,IF(D44=C86,0,""))</f>
        <v/>
      </c>
      <c r="F44" s="72" t="s">
        <v>505</v>
      </c>
      <c r="G44" s="79"/>
      <c r="H44" s="62"/>
      <c r="I44" s="62"/>
      <c r="J44" s="62"/>
      <c r="K44" s="62"/>
      <c r="L44" s="62"/>
      <c r="M44" s="62"/>
      <c r="N44" s="62"/>
      <c r="O44" s="62"/>
      <c r="P44" s="62"/>
      <c r="Q44" s="62"/>
      <c r="R44" s="62"/>
      <c r="S44" s="62"/>
      <c r="T44" s="62"/>
      <c r="U44" s="62"/>
      <c r="V44" s="62"/>
      <c r="W44" s="62"/>
      <c r="X44" s="62"/>
      <c r="Y44" s="50"/>
      <c r="Z44" s="50"/>
      <c r="AA44" s="50"/>
      <c r="AB44" s="50"/>
      <c r="AC44" s="50"/>
      <c r="AD44" s="50"/>
      <c r="AE44" s="50"/>
      <c r="AF44" s="50"/>
      <c r="AG44" s="62"/>
      <c r="AH44" s="62"/>
      <c r="AI44" s="62"/>
      <c r="AJ44" s="62"/>
      <c r="AK44" s="62"/>
      <c r="AL44" s="62"/>
      <c r="AM44" s="62"/>
      <c r="AN44" s="62"/>
      <c r="AO44" s="62"/>
      <c r="AP44" s="62"/>
    </row>
    <row r="45" spans="1:42" ht="218.25" customHeight="1" outlineLevel="1" thickBot="1">
      <c r="A45" s="73" t="s">
        <v>453</v>
      </c>
      <c r="B45" s="93" t="s">
        <v>1015</v>
      </c>
      <c r="C45" s="74"/>
      <c r="D45" s="77"/>
      <c r="E45" s="164" t="str">
        <f>IF(D45=B85,2,IF(D45=C85,1,IF(D45=D85,0,"")))</f>
        <v/>
      </c>
      <c r="F45" s="76" t="s">
        <v>505</v>
      </c>
      <c r="G45" s="50"/>
      <c r="H45" s="62"/>
      <c r="I45" s="62"/>
      <c r="J45" s="62"/>
      <c r="K45" s="62"/>
      <c r="L45" s="62"/>
      <c r="M45" s="62"/>
      <c r="N45" s="62"/>
      <c r="O45" s="62"/>
      <c r="P45" s="62"/>
      <c r="Q45" s="62"/>
      <c r="R45" s="62"/>
      <c r="S45" s="62"/>
      <c r="T45" s="62"/>
      <c r="U45" s="62"/>
      <c r="V45" s="62"/>
      <c r="W45" s="62"/>
      <c r="X45" s="62"/>
      <c r="Y45" s="62"/>
      <c r="Z45" s="62"/>
      <c r="AA45" s="62"/>
      <c r="AB45" s="50"/>
      <c r="AC45" s="50"/>
      <c r="AD45" s="50"/>
      <c r="AE45" s="50"/>
      <c r="AF45" s="50"/>
      <c r="AG45" s="62"/>
      <c r="AH45" s="62"/>
      <c r="AI45" s="62"/>
      <c r="AJ45" s="62"/>
      <c r="AK45" s="62"/>
      <c r="AL45" s="62"/>
      <c r="AM45" s="62"/>
      <c r="AN45" s="62"/>
      <c r="AO45" s="62"/>
      <c r="AP45" s="62"/>
    </row>
    <row r="46" spans="1:42" customFormat="1" outlineLevel="1">
      <c r="A46" s="80"/>
      <c r="B46" s="80"/>
      <c r="C46" s="80"/>
      <c r="D46" s="80"/>
      <c r="E46" s="80"/>
      <c r="F46" s="80"/>
      <c r="H46" s="62"/>
      <c r="I46" s="62"/>
      <c r="J46" s="62"/>
      <c r="K46" s="62"/>
      <c r="L46" s="62"/>
      <c r="M46" s="62"/>
      <c r="N46" s="62"/>
      <c r="O46" s="62"/>
      <c r="P46" s="62"/>
      <c r="Q46" s="62"/>
      <c r="R46" s="62"/>
      <c r="S46" s="62"/>
      <c r="T46" s="62"/>
      <c r="U46" s="62"/>
      <c r="V46" s="62"/>
      <c r="W46" s="62"/>
      <c r="X46" s="62"/>
      <c r="Y46" s="62"/>
      <c r="Z46" s="62"/>
      <c r="AA46" s="62"/>
      <c r="AB46" s="80"/>
      <c r="AC46" s="80"/>
      <c r="AD46" s="80"/>
      <c r="AE46" s="80"/>
      <c r="AF46" s="80"/>
      <c r="AG46" s="62"/>
      <c r="AH46" s="62"/>
      <c r="AI46" s="62"/>
      <c r="AJ46" s="62"/>
      <c r="AK46" s="62"/>
      <c r="AL46" s="62"/>
      <c r="AM46" s="62"/>
      <c r="AN46" s="62"/>
      <c r="AO46" s="62"/>
      <c r="AP46" s="62"/>
    </row>
    <row r="47" spans="1:42" s="50" customFormat="1" ht="15.75" outlineLevel="1" thickBot="1">
      <c r="A47" s="57"/>
      <c r="B47" s="57"/>
      <c r="C47" s="57"/>
      <c r="D47" s="57"/>
      <c r="E47" s="57"/>
      <c r="F47" s="99"/>
      <c r="H47" s="62"/>
      <c r="I47" s="62"/>
      <c r="J47" s="62"/>
      <c r="K47" s="62"/>
      <c r="L47" s="62"/>
      <c r="M47" s="62"/>
      <c r="N47" s="62"/>
      <c r="O47" s="62"/>
      <c r="P47" s="62"/>
      <c r="Q47" s="62"/>
      <c r="R47" s="62"/>
      <c r="S47" s="62"/>
      <c r="T47" s="62"/>
      <c r="U47" s="62"/>
      <c r="V47" s="62"/>
      <c r="W47" s="62"/>
      <c r="X47" s="62"/>
      <c r="Y47" s="62"/>
      <c r="Z47" s="62"/>
      <c r="AA47" s="62"/>
      <c r="AG47" s="62"/>
      <c r="AH47" s="62"/>
      <c r="AI47" s="62"/>
      <c r="AJ47" s="62"/>
      <c r="AK47" s="62"/>
      <c r="AL47" s="62"/>
      <c r="AM47" s="62"/>
      <c r="AN47" s="62"/>
      <c r="AO47" s="62"/>
      <c r="AP47" s="62"/>
    </row>
    <row r="48" spans="1:42" s="5" customFormat="1" hidden="1" outlineLevel="1">
      <c r="A48" s="57"/>
      <c r="B48" s="57"/>
      <c r="C48" s="57"/>
      <c r="D48" s="57"/>
      <c r="E48" s="57"/>
      <c r="F48" s="99"/>
      <c r="G48" s="50"/>
      <c r="H48" s="62"/>
      <c r="I48" s="62"/>
      <c r="J48" s="62"/>
      <c r="K48" s="62"/>
      <c r="L48" s="62"/>
      <c r="M48" s="62"/>
      <c r="N48" s="62"/>
      <c r="O48" s="62"/>
      <c r="P48" s="62"/>
      <c r="Q48" s="62"/>
      <c r="R48" s="62"/>
      <c r="S48" s="62"/>
      <c r="T48" s="62"/>
      <c r="U48" s="62"/>
      <c r="V48" s="62"/>
      <c r="W48" s="62"/>
      <c r="X48" s="62"/>
      <c r="Y48" s="62"/>
      <c r="Z48" s="62"/>
      <c r="AA48" s="62"/>
      <c r="AB48" s="50"/>
      <c r="AC48" s="50"/>
      <c r="AD48" s="50"/>
      <c r="AE48" s="50"/>
      <c r="AF48" s="50"/>
      <c r="AG48" s="62"/>
      <c r="AH48" s="62"/>
      <c r="AI48" s="62"/>
      <c r="AJ48" s="62"/>
      <c r="AK48" s="62"/>
      <c r="AL48" s="62"/>
      <c r="AM48" s="62"/>
      <c r="AN48" s="62"/>
      <c r="AO48" s="62"/>
      <c r="AP48" s="62"/>
    </row>
    <row r="49" spans="1:42" s="50" customFormat="1" hidden="1" outlineLevel="1">
      <c r="C49" s="62"/>
      <c r="I49" s="62"/>
      <c r="J49" s="62"/>
      <c r="K49" s="62"/>
      <c r="L49" s="62"/>
      <c r="M49" s="62"/>
      <c r="N49" s="62"/>
      <c r="O49" s="62"/>
      <c r="P49" s="62"/>
      <c r="Q49" s="62"/>
      <c r="R49" s="62"/>
      <c r="S49" s="62"/>
      <c r="T49" s="62"/>
      <c r="U49" s="62"/>
      <c r="V49" s="62"/>
      <c r="W49" s="62"/>
      <c r="X49" s="62"/>
      <c r="Y49" s="62"/>
      <c r="Z49" s="62"/>
      <c r="AA49" s="62"/>
      <c r="AG49" s="62"/>
      <c r="AH49" s="62"/>
      <c r="AI49" s="62"/>
      <c r="AJ49" s="62"/>
      <c r="AK49" s="62"/>
      <c r="AL49" s="62"/>
      <c r="AM49" s="62"/>
      <c r="AN49" s="62"/>
      <c r="AO49" s="62"/>
      <c r="AP49" s="62"/>
    </row>
    <row r="50" spans="1:42" s="50" customFormat="1" hidden="1">
      <c r="A50" s="57" t="s">
        <v>281</v>
      </c>
      <c r="B50" s="57" t="s">
        <v>337</v>
      </c>
      <c r="I50" s="62"/>
      <c r="J50" s="62"/>
      <c r="K50" s="62"/>
      <c r="L50" s="62"/>
      <c r="M50" s="62"/>
      <c r="N50" s="62"/>
      <c r="O50" s="62"/>
      <c r="P50" s="62"/>
      <c r="Q50" s="62"/>
      <c r="R50" s="62"/>
      <c r="S50" s="62"/>
      <c r="T50" s="62"/>
      <c r="U50" s="62"/>
      <c r="V50" s="62"/>
      <c r="W50" s="62"/>
      <c r="X50" s="62"/>
      <c r="Y50" s="62"/>
      <c r="Z50" s="62"/>
      <c r="AA50" s="62"/>
      <c r="AG50" s="62"/>
      <c r="AH50" s="62"/>
      <c r="AI50" s="62"/>
      <c r="AJ50" s="62"/>
      <c r="AK50" s="62"/>
      <c r="AL50" s="62"/>
      <c r="AM50" s="62"/>
      <c r="AN50" s="62"/>
      <c r="AO50" s="62"/>
      <c r="AP50" s="62"/>
    </row>
    <row r="51" spans="1:42" s="50" customFormat="1" ht="15.75" hidden="1" outlineLevel="1" thickBot="1">
      <c r="D51" s="95" t="s">
        <v>400</v>
      </c>
      <c r="E51" s="96">
        <f>SUM(E22:E50)</f>
        <v>0</v>
      </c>
      <c r="G51" s="80"/>
      <c r="I51" s="62"/>
      <c r="J51" s="62"/>
      <c r="K51" s="62"/>
      <c r="L51" s="62"/>
      <c r="M51" s="62"/>
      <c r="N51" s="62"/>
      <c r="O51" s="62"/>
      <c r="P51" s="62"/>
      <c r="Q51" s="62"/>
      <c r="R51" s="62"/>
      <c r="S51" s="62"/>
      <c r="T51" s="62"/>
      <c r="U51" s="62"/>
      <c r="V51" s="62"/>
      <c r="W51" s="62"/>
      <c r="X51" s="62"/>
      <c r="Y51" s="62"/>
      <c r="Z51" s="62"/>
      <c r="AA51" s="62"/>
      <c r="AG51" s="62"/>
      <c r="AH51" s="62"/>
      <c r="AI51" s="62"/>
      <c r="AJ51" s="62"/>
      <c r="AK51" s="62"/>
      <c r="AL51" s="62"/>
      <c r="AM51" s="62"/>
      <c r="AN51" s="62"/>
      <c r="AO51" s="62"/>
      <c r="AP51" s="62"/>
    </row>
    <row r="52" spans="1:42" s="50" customFormat="1" ht="15.75" hidden="1" outlineLevel="1" thickTop="1">
      <c r="D52" s="97"/>
      <c r="G52" s="80"/>
      <c r="I52" s="62"/>
      <c r="J52" s="62"/>
      <c r="K52" s="62"/>
      <c r="L52" s="62"/>
      <c r="M52" s="62"/>
      <c r="N52" s="62"/>
      <c r="O52" s="62"/>
      <c r="P52" s="62"/>
      <c r="Q52" s="62"/>
      <c r="R52" s="62"/>
      <c r="S52" s="62"/>
      <c r="T52" s="62"/>
      <c r="U52" s="62"/>
      <c r="V52" s="62"/>
      <c r="W52" s="62"/>
      <c r="X52" s="62"/>
      <c r="Y52" s="62"/>
      <c r="Z52" s="62"/>
      <c r="AA52" s="62"/>
      <c r="AG52" s="62"/>
      <c r="AH52" s="62"/>
      <c r="AI52" s="62"/>
      <c r="AJ52" s="62"/>
      <c r="AK52" s="62"/>
      <c r="AL52" s="62"/>
      <c r="AM52" s="62"/>
      <c r="AN52" s="62"/>
      <c r="AO52" s="62"/>
      <c r="AP52" s="62"/>
    </row>
    <row r="53" spans="1:42" s="50" customFormat="1" hidden="1" outlineLevel="1">
      <c r="G53" s="80"/>
      <c r="I53" s="62"/>
      <c r="J53" s="62"/>
      <c r="K53" s="62"/>
      <c r="L53" s="62"/>
      <c r="M53" s="62"/>
      <c r="N53" s="62"/>
      <c r="O53" s="62"/>
      <c r="P53" s="62"/>
      <c r="Q53" s="62"/>
      <c r="R53" s="62"/>
      <c r="S53" s="62"/>
      <c r="T53" s="62"/>
      <c r="U53" s="62"/>
      <c r="V53" s="62"/>
      <c r="W53" s="62"/>
      <c r="X53" s="62"/>
      <c r="Y53" s="62"/>
      <c r="Z53" s="62"/>
      <c r="AA53" s="62"/>
      <c r="AG53" s="62"/>
      <c r="AH53" s="62"/>
      <c r="AI53" s="62"/>
      <c r="AJ53" s="62"/>
      <c r="AK53" s="62"/>
      <c r="AL53" s="62"/>
      <c r="AM53" s="62"/>
      <c r="AN53" s="62"/>
      <c r="AO53" s="62"/>
      <c r="AP53" s="62"/>
    </row>
    <row r="54" spans="1:42" s="50" customFormat="1" hidden="1">
      <c r="A54" s="57" t="s">
        <v>282</v>
      </c>
      <c r="B54" s="57" t="s">
        <v>335</v>
      </c>
      <c r="I54" s="62"/>
      <c r="J54" s="62"/>
      <c r="K54" s="62"/>
      <c r="L54" s="62"/>
      <c r="M54" s="62"/>
      <c r="N54" s="62"/>
      <c r="O54" s="62"/>
      <c r="P54" s="62"/>
      <c r="Q54" s="62"/>
      <c r="R54" s="62"/>
      <c r="S54" s="62"/>
      <c r="T54" s="62"/>
      <c r="U54" s="62"/>
      <c r="V54" s="62"/>
      <c r="W54" s="62"/>
      <c r="X54" s="62"/>
      <c r="Y54" s="62"/>
      <c r="Z54" s="62"/>
      <c r="AA54" s="62"/>
      <c r="AG54" s="62"/>
      <c r="AH54" s="62"/>
      <c r="AI54" s="62"/>
      <c r="AJ54" s="62"/>
      <c r="AK54" s="62"/>
      <c r="AL54" s="62"/>
      <c r="AM54" s="62"/>
      <c r="AN54" s="62"/>
      <c r="AO54" s="62"/>
      <c r="AP54" s="62"/>
    </row>
    <row r="55" spans="1:42" s="50" customFormat="1" ht="15.75" hidden="1" outlineLevel="1" thickBot="1">
      <c r="D55" s="95" t="s">
        <v>401</v>
      </c>
      <c r="E55" s="96">
        <f>SUM(E24:E24)</f>
        <v>0</v>
      </c>
      <c r="I55" s="62"/>
      <c r="J55" s="62"/>
      <c r="K55" s="62"/>
      <c r="L55" s="62"/>
      <c r="M55" s="62"/>
      <c r="N55" s="62"/>
      <c r="O55" s="62"/>
      <c r="P55" s="62"/>
      <c r="Q55" s="62"/>
      <c r="R55" s="62"/>
      <c r="S55" s="62"/>
      <c r="T55" s="62"/>
      <c r="U55" s="62"/>
      <c r="V55" s="62"/>
      <c r="W55" s="62"/>
      <c r="X55" s="62"/>
      <c r="Y55" s="62"/>
      <c r="Z55" s="62"/>
      <c r="AA55" s="62"/>
      <c r="AG55" s="62"/>
      <c r="AH55" s="62"/>
      <c r="AI55" s="62"/>
      <c r="AJ55" s="62"/>
      <c r="AK55" s="62"/>
      <c r="AL55" s="62"/>
      <c r="AM55" s="62"/>
      <c r="AN55" s="62"/>
      <c r="AO55" s="62"/>
      <c r="AP55" s="62"/>
    </row>
    <row r="56" spans="1:42" s="50" customFormat="1" ht="15.75" hidden="1" outlineLevel="1" thickTop="1">
      <c r="D56" s="57"/>
      <c r="I56" s="62"/>
      <c r="J56" s="62"/>
      <c r="K56" s="62"/>
      <c r="L56" s="62"/>
      <c r="M56" s="62"/>
      <c r="N56" s="62"/>
      <c r="O56" s="62"/>
      <c r="P56" s="62"/>
      <c r="Q56" s="62"/>
      <c r="R56" s="62"/>
      <c r="S56" s="62"/>
      <c r="T56" s="62"/>
      <c r="U56" s="62"/>
      <c r="V56" s="62"/>
      <c r="W56" s="62"/>
      <c r="X56" s="62"/>
      <c r="Y56" s="62"/>
      <c r="Z56" s="62"/>
      <c r="AA56" s="62"/>
      <c r="AG56" s="62"/>
      <c r="AH56" s="62"/>
      <c r="AI56" s="62"/>
      <c r="AJ56" s="62"/>
      <c r="AK56" s="62"/>
      <c r="AL56" s="62"/>
      <c r="AM56" s="62"/>
      <c r="AN56" s="62"/>
      <c r="AO56" s="62"/>
      <c r="AP56" s="62"/>
    </row>
    <row r="57" spans="1:42" s="50" customFormat="1" hidden="1" outlineLevel="1">
      <c r="D57" s="57"/>
      <c r="I57" s="62"/>
      <c r="J57" s="62"/>
      <c r="K57" s="62"/>
      <c r="L57" s="62"/>
      <c r="M57" s="62"/>
      <c r="N57" s="62"/>
      <c r="O57" s="62"/>
      <c r="P57" s="62"/>
      <c r="Q57" s="62"/>
      <c r="R57" s="62"/>
      <c r="S57" s="62"/>
      <c r="T57" s="62"/>
      <c r="U57" s="62"/>
      <c r="V57" s="62"/>
      <c r="W57" s="62"/>
      <c r="X57" s="62"/>
      <c r="Y57" s="62"/>
      <c r="Z57" s="62"/>
      <c r="AA57" s="62"/>
      <c r="AG57" s="62"/>
      <c r="AH57" s="62"/>
      <c r="AI57" s="62"/>
      <c r="AJ57" s="62"/>
      <c r="AK57" s="62"/>
      <c r="AL57" s="62"/>
      <c r="AM57" s="62"/>
      <c r="AN57" s="62"/>
      <c r="AO57" s="62"/>
      <c r="AP57" s="62"/>
    </row>
    <row r="58" spans="1:42" s="50" customFormat="1" hidden="1">
      <c r="A58" s="57" t="s">
        <v>283</v>
      </c>
      <c r="B58" s="57" t="s">
        <v>330</v>
      </c>
      <c r="I58" s="62"/>
      <c r="J58" s="62"/>
      <c r="K58" s="62"/>
      <c r="L58" s="62"/>
      <c r="M58" s="62"/>
      <c r="N58" s="62"/>
      <c r="O58" s="62"/>
      <c r="P58" s="62"/>
      <c r="Q58" s="62"/>
      <c r="R58" s="62"/>
      <c r="S58" s="62"/>
      <c r="T58" s="62"/>
      <c r="U58" s="62"/>
      <c r="V58" s="62"/>
      <c r="W58" s="62"/>
      <c r="X58" s="62"/>
      <c r="Y58" s="62"/>
      <c r="Z58" s="62"/>
      <c r="AA58" s="62"/>
      <c r="AG58" s="62"/>
      <c r="AH58" s="62"/>
      <c r="AI58" s="62"/>
      <c r="AJ58" s="62"/>
      <c r="AK58" s="62"/>
      <c r="AL58" s="62"/>
      <c r="AM58" s="62"/>
      <c r="AN58" s="62"/>
      <c r="AO58" s="62"/>
      <c r="AP58" s="62"/>
    </row>
    <row r="59" spans="1:42" s="50" customFormat="1" ht="15.75" hidden="1" outlineLevel="1" thickBot="1">
      <c r="D59" s="95" t="s">
        <v>402</v>
      </c>
      <c r="E59" s="98">
        <f>SUM(E21:E58)</f>
        <v>0</v>
      </c>
      <c r="I59" s="62"/>
      <c r="J59" s="62"/>
      <c r="K59" s="62"/>
      <c r="L59" s="62"/>
      <c r="M59" s="62"/>
      <c r="N59" s="62"/>
      <c r="O59" s="62"/>
      <c r="P59" s="62"/>
      <c r="Q59" s="62"/>
      <c r="R59" s="62"/>
      <c r="S59" s="62"/>
      <c r="T59" s="62"/>
      <c r="U59" s="62"/>
      <c r="V59" s="62"/>
      <c r="W59" s="62"/>
      <c r="X59" s="62"/>
      <c r="Y59" s="62"/>
      <c r="Z59" s="62"/>
      <c r="AA59" s="62"/>
      <c r="AG59" s="62"/>
      <c r="AH59" s="62"/>
      <c r="AI59" s="62"/>
      <c r="AJ59" s="62"/>
      <c r="AK59" s="62"/>
      <c r="AL59" s="62"/>
      <c r="AM59" s="62"/>
      <c r="AN59" s="62"/>
      <c r="AO59" s="62"/>
      <c r="AP59" s="62"/>
    </row>
    <row r="60" spans="1:42" s="50" customFormat="1" ht="15.75" hidden="1" outlineLevel="1" thickTop="1">
      <c r="I60" s="62"/>
      <c r="J60" s="62"/>
      <c r="K60" s="62"/>
      <c r="L60" s="62"/>
      <c r="M60" s="62"/>
      <c r="N60" s="62"/>
      <c r="O60" s="62"/>
      <c r="P60" s="62"/>
      <c r="Q60" s="62"/>
      <c r="R60" s="62"/>
      <c r="S60" s="62"/>
      <c r="T60" s="62"/>
      <c r="U60" s="62"/>
      <c r="V60" s="62"/>
      <c r="W60" s="62"/>
      <c r="X60" s="62"/>
      <c r="Y60" s="62"/>
      <c r="Z60" s="62"/>
      <c r="AA60" s="62"/>
      <c r="AG60" s="62"/>
      <c r="AH60" s="62"/>
      <c r="AI60" s="62"/>
      <c r="AJ60" s="62"/>
      <c r="AK60" s="62"/>
      <c r="AL60" s="62"/>
      <c r="AM60" s="62"/>
      <c r="AN60" s="62"/>
      <c r="AO60" s="62"/>
      <c r="AP60" s="62"/>
    </row>
    <row r="61" spans="1:42" s="50" customFormat="1" ht="15.75" hidden="1" outlineLevel="1" thickBot="1">
      <c r="I61" s="62"/>
      <c r="J61" s="62"/>
      <c r="K61" s="62"/>
      <c r="L61" s="62"/>
      <c r="M61" s="62"/>
      <c r="N61" s="62"/>
      <c r="O61" s="62"/>
      <c r="P61" s="62"/>
      <c r="Q61" s="62"/>
      <c r="R61" s="62"/>
      <c r="S61" s="62"/>
      <c r="T61" s="62"/>
      <c r="U61" s="62"/>
      <c r="V61" s="62"/>
      <c r="W61" s="62"/>
      <c r="X61" s="62"/>
      <c r="Y61" s="62"/>
      <c r="Z61" s="62"/>
      <c r="AA61" s="62"/>
      <c r="AG61" s="62"/>
      <c r="AH61" s="62"/>
      <c r="AI61" s="62"/>
      <c r="AJ61" s="62"/>
      <c r="AK61" s="62"/>
      <c r="AL61" s="62"/>
      <c r="AM61" s="62"/>
      <c r="AN61" s="62"/>
      <c r="AO61" s="62"/>
      <c r="AP61" s="62"/>
    </row>
    <row r="62" spans="1:42" ht="15.75" thickBot="1">
      <c r="A62" s="50"/>
      <c r="B62" s="50"/>
      <c r="D62" s="67" t="s">
        <v>480</v>
      </c>
      <c r="E62" s="84">
        <f>SUM(M24:M26)</f>
        <v>0</v>
      </c>
      <c r="G62" s="50"/>
      <c r="H62" s="50"/>
      <c r="I62" s="62"/>
      <c r="J62" s="62"/>
      <c r="K62" s="62"/>
      <c r="L62" s="62"/>
      <c r="M62" s="62"/>
      <c r="N62" s="62"/>
      <c r="O62" s="62"/>
      <c r="P62" s="62"/>
      <c r="Q62" s="62"/>
      <c r="R62" s="62"/>
      <c r="S62" s="62"/>
      <c r="T62" s="62"/>
      <c r="U62" s="62"/>
      <c r="V62" s="62"/>
      <c r="W62" s="62"/>
      <c r="X62" s="62"/>
      <c r="Y62" s="62"/>
      <c r="Z62" s="62"/>
      <c r="AA62" s="62"/>
      <c r="AB62" s="50"/>
      <c r="AC62" s="50"/>
      <c r="AD62" s="50"/>
      <c r="AE62" s="50"/>
      <c r="AF62" s="50"/>
      <c r="AG62" s="62"/>
      <c r="AH62" s="62"/>
      <c r="AI62" s="62"/>
      <c r="AJ62" s="62"/>
      <c r="AK62" s="62"/>
      <c r="AL62" s="62"/>
      <c r="AM62" s="62"/>
      <c r="AN62" s="62"/>
      <c r="AO62" s="62"/>
      <c r="AP62" s="62"/>
    </row>
    <row r="63" spans="1:42" s="50" customFormat="1">
      <c r="A63" s="281" t="s">
        <v>539</v>
      </c>
      <c r="I63" s="62"/>
      <c r="J63" s="62"/>
      <c r="K63" s="62"/>
      <c r="L63" s="62"/>
      <c r="M63" s="62"/>
      <c r="N63" s="62"/>
      <c r="O63" s="62"/>
      <c r="P63" s="62"/>
      <c r="Q63" s="62"/>
      <c r="R63" s="62"/>
      <c r="S63" s="62"/>
      <c r="T63" s="62"/>
      <c r="U63" s="62"/>
      <c r="V63" s="62"/>
      <c r="W63" s="62"/>
      <c r="X63" s="62"/>
      <c r="Y63" s="62"/>
      <c r="Z63" s="62"/>
      <c r="AA63" s="62"/>
      <c r="AG63" s="62"/>
      <c r="AH63" s="62"/>
      <c r="AI63" s="62"/>
      <c r="AJ63" s="62"/>
      <c r="AK63" s="62"/>
      <c r="AL63" s="62"/>
      <c r="AM63" s="62"/>
      <c r="AN63" s="62"/>
      <c r="AO63" s="62"/>
      <c r="AP63" s="62"/>
    </row>
    <row r="64" spans="1:42" s="50" customFormat="1">
      <c r="A64" s="82"/>
      <c r="I64" s="62"/>
      <c r="J64" s="62"/>
      <c r="K64" s="62"/>
      <c r="L64" s="62"/>
      <c r="M64" s="62"/>
      <c r="N64" s="62"/>
      <c r="O64" s="62"/>
      <c r="P64" s="62"/>
      <c r="Q64" s="62"/>
      <c r="R64" s="62"/>
      <c r="S64" s="62"/>
      <c r="T64" s="62"/>
      <c r="U64" s="62"/>
      <c r="V64" s="62"/>
      <c r="W64" s="62"/>
      <c r="X64" s="62"/>
      <c r="Y64" s="62"/>
      <c r="Z64" s="62"/>
      <c r="AA64" s="62"/>
      <c r="AG64" s="62"/>
      <c r="AH64" s="62"/>
      <c r="AI64" s="62"/>
      <c r="AJ64" s="62"/>
      <c r="AK64" s="62"/>
      <c r="AL64" s="62"/>
      <c r="AM64" s="62"/>
      <c r="AN64" s="62"/>
      <c r="AO64" s="62"/>
      <c r="AP64" s="62"/>
    </row>
    <row r="65" spans="1:42" s="50" customFormat="1" hidden="1">
      <c r="A65" s="82"/>
      <c r="I65" s="62"/>
      <c r="J65" s="62"/>
      <c r="K65" s="62"/>
      <c r="L65" s="62"/>
      <c r="AG65" s="62"/>
      <c r="AH65" s="62"/>
      <c r="AI65" s="62"/>
      <c r="AJ65" s="62"/>
      <c r="AK65" s="62"/>
      <c r="AL65" s="62"/>
      <c r="AM65" s="62"/>
      <c r="AN65" s="62"/>
      <c r="AO65" s="62"/>
      <c r="AP65" s="62"/>
    </row>
    <row r="66" spans="1:42" s="50" customFormat="1" hidden="1">
      <c r="A66" s="300" t="s">
        <v>790</v>
      </c>
      <c r="B66" s="299"/>
      <c r="C66" s="301"/>
      <c r="I66" s="62"/>
      <c r="J66" s="62"/>
      <c r="K66" s="62"/>
      <c r="L66" s="62"/>
      <c r="AG66" s="62"/>
      <c r="AH66" s="62"/>
      <c r="AI66" s="62"/>
      <c r="AJ66" s="62"/>
      <c r="AK66" s="62"/>
      <c r="AL66" s="62"/>
      <c r="AM66" s="62"/>
      <c r="AN66" s="62"/>
      <c r="AO66" s="62"/>
      <c r="AP66" s="62"/>
    </row>
    <row r="67" spans="1:42" s="50" customFormat="1" hidden="1">
      <c r="A67" s="281" t="s">
        <v>634</v>
      </c>
      <c r="I67" s="62"/>
      <c r="J67" s="62"/>
      <c r="K67" s="62"/>
      <c r="L67" s="62"/>
      <c r="AG67" s="62"/>
      <c r="AH67" s="62"/>
      <c r="AI67" s="62"/>
      <c r="AJ67" s="62"/>
      <c r="AK67" s="62"/>
      <c r="AL67" s="62"/>
      <c r="AM67" s="62"/>
      <c r="AN67" s="62"/>
      <c r="AO67" s="62"/>
      <c r="AP67" s="62"/>
    </row>
    <row r="68" spans="1:42" s="50" customFormat="1" hidden="1">
      <c r="A68" s="266" t="s">
        <v>635</v>
      </c>
      <c r="B68" s="267" t="s">
        <v>600</v>
      </c>
      <c r="C68" s="267" t="s">
        <v>601</v>
      </c>
      <c r="D68" s="267" t="s">
        <v>602</v>
      </c>
      <c r="E68" s="268" t="s">
        <v>603</v>
      </c>
      <c r="I68" s="62"/>
      <c r="J68" s="62"/>
      <c r="K68" s="62"/>
      <c r="L68" s="62"/>
      <c r="AG68" s="62"/>
      <c r="AH68" s="62"/>
      <c r="AI68" s="62"/>
      <c r="AJ68" s="62"/>
      <c r="AK68" s="62"/>
      <c r="AL68" s="62"/>
      <c r="AM68" s="62"/>
      <c r="AN68" s="62"/>
      <c r="AO68" s="62"/>
      <c r="AP68" s="62"/>
    </row>
    <row r="69" spans="1:42" s="50" customFormat="1" hidden="1">
      <c r="A69" s="271" t="s">
        <v>618</v>
      </c>
      <c r="B69" s="270"/>
      <c r="C69" s="270"/>
      <c r="D69" s="270"/>
      <c r="E69" s="270"/>
      <c r="I69" s="62"/>
      <c r="J69" s="62"/>
      <c r="K69" s="62"/>
      <c r="L69" s="62"/>
      <c r="AG69" s="62"/>
      <c r="AH69" s="62"/>
      <c r="AI69" s="62"/>
      <c r="AJ69" s="62"/>
      <c r="AK69" s="62"/>
      <c r="AL69" s="62"/>
      <c r="AM69" s="62"/>
      <c r="AN69" s="62"/>
      <c r="AO69" s="62"/>
      <c r="AP69" s="62"/>
    </row>
    <row r="70" spans="1:42" s="50" customFormat="1" hidden="1">
      <c r="A70" s="271" t="s">
        <v>611</v>
      </c>
      <c r="B70" s="257" t="s">
        <v>593</v>
      </c>
      <c r="C70" s="257" t="s">
        <v>594</v>
      </c>
      <c r="D70" s="257" t="s">
        <v>595</v>
      </c>
      <c r="E70" s="270"/>
      <c r="I70" s="62"/>
      <c r="J70" s="62"/>
      <c r="K70" s="62"/>
      <c r="L70" s="62"/>
      <c r="AG70" s="62"/>
      <c r="AH70" s="62"/>
      <c r="AI70" s="62"/>
      <c r="AJ70" s="62"/>
      <c r="AK70" s="62"/>
      <c r="AL70" s="62"/>
      <c r="AM70" s="62"/>
      <c r="AN70" s="62"/>
      <c r="AO70" s="62"/>
      <c r="AP70" s="62"/>
    </row>
    <row r="71" spans="1:42" s="50" customFormat="1" hidden="1">
      <c r="A71" s="271" t="s">
        <v>619</v>
      </c>
      <c r="B71" s="270"/>
      <c r="C71" s="270"/>
      <c r="D71" s="270"/>
      <c r="E71" s="270"/>
      <c r="I71" s="62"/>
      <c r="J71" s="62"/>
      <c r="K71" s="62"/>
      <c r="L71" s="62"/>
      <c r="AG71" s="62"/>
      <c r="AH71" s="62"/>
      <c r="AI71" s="62"/>
      <c r="AJ71" s="62"/>
      <c r="AK71" s="62"/>
      <c r="AL71" s="62"/>
      <c r="AM71" s="62"/>
      <c r="AN71" s="62"/>
      <c r="AO71" s="62"/>
      <c r="AP71" s="62"/>
    </row>
    <row r="72" spans="1:42" s="80" customFormat="1" hidden="1">
      <c r="A72" s="273" t="s">
        <v>417</v>
      </c>
      <c r="B72" s="273" t="s">
        <v>885</v>
      </c>
      <c r="C72" s="273" t="s">
        <v>886</v>
      </c>
      <c r="D72" s="273" t="s">
        <v>626</v>
      </c>
      <c r="E72" s="270"/>
      <c r="F72" s="80" t="s">
        <v>543</v>
      </c>
      <c r="G72" s="50"/>
      <c r="I72" s="126"/>
      <c r="J72" s="126"/>
      <c r="K72" s="126"/>
      <c r="L72" s="126"/>
      <c r="AG72" s="62"/>
      <c r="AH72" s="62"/>
      <c r="AI72" s="62"/>
      <c r="AJ72" s="62"/>
      <c r="AK72" s="62"/>
      <c r="AL72" s="62"/>
      <c r="AM72" s="62"/>
      <c r="AN72" s="62"/>
      <c r="AO72" s="62"/>
      <c r="AP72" s="62"/>
    </row>
    <row r="73" spans="1:42" s="80" customFormat="1" hidden="1">
      <c r="A73" s="273" t="s">
        <v>418</v>
      </c>
      <c r="B73" s="273" t="s">
        <v>904</v>
      </c>
      <c r="C73" s="273" t="s">
        <v>1029</v>
      </c>
      <c r="D73" s="273" t="s">
        <v>1030</v>
      </c>
      <c r="E73" s="269"/>
      <c r="I73" s="126"/>
      <c r="J73" s="126"/>
      <c r="K73" s="126"/>
      <c r="L73" s="126"/>
      <c r="AG73" s="62"/>
      <c r="AH73" s="62"/>
      <c r="AI73" s="62"/>
      <c r="AJ73" s="62"/>
      <c r="AK73" s="62"/>
      <c r="AL73" s="62"/>
      <c r="AM73" s="62"/>
      <c r="AN73" s="62"/>
      <c r="AO73" s="62"/>
      <c r="AP73" s="62"/>
    </row>
    <row r="74" spans="1:42" s="80" customFormat="1" hidden="1">
      <c r="A74" s="273" t="s">
        <v>419</v>
      </c>
      <c r="B74" s="272" t="s">
        <v>627</v>
      </c>
      <c r="C74" s="272" t="s">
        <v>628</v>
      </c>
      <c r="D74" s="272" t="s">
        <v>1031</v>
      </c>
      <c r="E74" s="269"/>
      <c r="I74" s="126"/>
      <c r="J74" s="126"/>
      <c r="K74" s="126"/>
      <c r="L74" s="126"/>
      <c r="AG74" s="62"/>
      <c r="AH74" s="62"/>
      <c r="AI74" s="62"/>
      <c r="AJ74" s="62"/>
      <c r="AK74" s="62"/>
      <c r="AL74" s="62"/>
      <c r="AM74" s="62"/>
      <c r="AN74" s="62"/>
      <c r="AO74" s="62"/>
      <c r="AP74" s="62"/>
    </row>
    <row r="75" spans="1:42" s="80" customFormat="1" hidden="1">
      <c r="A75" s="273" t="s">
        <v>436</v>
      </c>
      <c r="B75" s="273" t="s">
        <v>1032</v>
      </c>
      <c r="C75" s="273" t="s">
        <v>887</v>
      </c>
      <c r="D75" s="269"/>
      <c r="E75" s="269"/>
      <c r="I75" s="126"/>
      <c r="J75" s="126"/>
      <c r="K75" s="126"/>
      <c r="L75" s="126"/>
      <c r="AG75" s="62"/>
      <c r="AH75" s="62"/>
      <c r="AI75" s="62"/>
      <c r="AJ75" s="62"/>
      <c r="AK75" s="62"/>
      <c r="AL75" s="62"/>
      <c r="AM75" s="62"/>
      <c r="AN75" s="62"/>
      <c r="AO75" s="62"/>
      <c r="AP75" s="62"/>
    </row>
    <row r="76" spans="1:42" s="80" customFormat="1" hidden="1">
      <c r="A76" s="274" t="s">
        <v>625</v>
      </c>
      <c r="B76" s="269"/>
      <c r="C76" s="269"/>
      <c r="D76" s="269"/>
      <c r="E76" s="269"/>
      <c r="I76" s="126"/>
      <c r="J76" s="126"/>
      <c r="K76" s="126"/>
      <c r="L76" s="126"/>
      <c r="AG76" s="62"/>
      <c r="AH76" s="62"/>
      <c r="AI76" s="62"/>
      <c r="AJ76" s="62"/>
      <c r="AK76" s="62"/>
      <c r="AL76" s="62"/>
      <c r="AM76" s="62"/>
      <c r="AN76" s="62"/>
      <c r="AO76" s="62"/>
      <c r="AP76" s="62"/>
    </row>
    <row r="77" spans="1:42" s="80" customFormat="1" hidden="1">
      <c r="A77" s="273" t="s">
        <v>420</v>
      </c>
      <c r="B77" s="272" t="s">
        <v>631</v>
      </c>
      <c r="C77" s="272" t="s">
        <v>1033</v>
      </c>
      <c r="D77" s="270"/>
      <c r="E77" s="269"/>
      <c r="I77" s="126"/>
      <c r="J77" s="126"/>
      <c r="K77" s="126"/>
      <c r="L77" s="126"/>
      <c r="AG77" s="62"/>
      <c r="AH77" s="62"/>
      <c r="AI77" s="62"/>
      <c r="AJ77" s="62"/>
      <c r="AK77" s="62"/>
      <c r="AL77" s="62"/>
      <c r="AM77" s="62"/>
      <c r="AN77" s="62"/>
      <c r="AO77" s="62"/>
      <c r="AP77" s="62"/>
    </row>
    <row r="78" spans="1:42" s="80" customFormat="1" hidden="1">
      <c r="A78" s="273" t="s">
        <v>421</v>
      </c>
      <c r="B78" s="272" t="s">
        <v>905</v>
      </c>
      <c r="C78" s="272" t="s">
        <v>1034</v>
      </c>
      <c r="D78" s="272" t="s">
        <v>888</v>
      </c>
      <c r="E78" s="269"/>
      <c r="I78" s="126"/>
      <c r="J78" s="126"/>
      <c r="K78" s="126"/>
      <c r="L78" s="126"/>
      <c r="AG78" s="62"/>
      <c r="AH78" s="62"/>
      <c r="AI78" s="62"/>
      <c r="AJ78" s="62"/>
      <c r="AK78" s="62"/>
      <c r="AL78" s="62"/>
      <c r="AM78" s="62"/>
      <c r="AN78" s="62"/>
      <c r="AO78" s="62"/>
      <c r="AP78" s="62"/>
    </row>
    <row r="79" spans="1:42" s="80" customFormat="1" hidden="1">
      <c r="A79" s="273" t="s">
        <v>422</v>
      </c>
      <c r="B79" s="272" t="s">
        <v>632</v>
      </c>
      <c r="C79" s="272" t="s">
        <v>633</v>
      </c>
      <c r="D79" s="272" t="s">
        <v>1035</v>
      </c>
      <c r="E79" s="269"/>
      <c r="I79" s="126"/>
      <c r="J79" s="126"/>
      <c r="K79" s="126"/>
      <c r="L79" s="126"/>
      <c r="AG79" s="62"/>
      <c r="AH79" s="62"/>
      <c r="AI79" s="62"/>
      <c r="AJ79" s="62"/>
      <c r="AK79" s="62"/>
      <c r="AL79" s="62"/>
      <c r="AM79" s="62"/>
      <c r="AN79" s="62"/>
      <c r="AO79" s="62"/>
      <c r="AP79" s="62"/>
    </row>
    <row r="80" spans="1:42" s="80" customFormat="1" hidden="1">
      <c r="A80" s="273" t="s">
        <v>423</v>
      </c>
      <c r="B80" s="272" t="s">
        <v>883</v>
      </c>
      <c r="C80" s="272" t="s">
        <v>884</v>
      </c>
      <c r="D80" s="270"/>
      <c r="E80" s="269"/>
      <c r="I80" s="126"/>
      <c r="J80" s="126"/>
      <c r="K80" s="126"/>
      <c r="L80" s="126"/>
      <c r="AG80" s="62"/>
      <c r="AH80" s="62"/>
      <c r="AI80" s="62"/>
      <c r="AJ80" s="62"/>
      <c r="AK80" s="62"/>
      <c r="AL80" s="62"/>
      <c r="AM80" s="62"/>
      <c r="AN80" s="62"/>
      <c r="AO80" s="62"/>
      <c r="AP80" s="62"/>
    </row>
    <row r="81" spans="1:42" s="80" customFormat="1" hidden="1">
      <c r="A81" s="274" t="s">
        <v>629</v>
      </c>
      <c r="B81" s="270"/>
      <c r="C81" s="270"/>
      <c r="D81" s="270"/>
      <c r="E81" s="269"/>
      <c r="I81" s="126"/>
      <c r="J81" s="126"/>
      <c r="K81" s="126"/>
      <c r="L81" s="126"/>
      <c r="AG81" s="62"/>
      <c r="AH81" s="62"/>
      <c r="AI81" s="62"/>
      <c r="AJ81" s="62"/>
      <c r="AK81" s="62"/>
      <c r="AL81" s="62"/>
      <c r="AM81" s="62"/>
      <c r="AN81" s="62"/>
      <c r="AO81" s="62"/>
      <c r="AP81" s="62"/>
    </row>
    <row r="82" spans="1:42" s="50" customFormat="1" hidden="1">
      <c r="A82" s="273" t="s">
        <v>426</v>
      </c>
      <c r="B82" s="272" t="s">
        <v>882</v>
      </c>
      <c r="C82" s="272" t="s">
        <v>696</v>
      </c>
      <c r="D82" s="270"/>
      <c r="E82" s="269"/>
      <c r="I82" s="62"/>
      <c r="J82" s="62"/>
      <c r="K82" s="62"/>
      <c r="L82" s="62"/>
      <c r="AG82" s="62"/>
      <c r="AH82" s="62"/>
      <c r="AI82" s="62"/>
      <c r="AJ82" s="62"/>
      <c r="AK82" s="62"/>
      <c r="AL82" s="62"/>
      <c r="AM82" s="62"/>
      <c r="AN82" s="62"/>
      <c r="AO82" s="62"/>
      <c r="AP82" s="62"/>
    </row>
    <row r="83" spans="1:42" s="50" customFormat="1" hidden="1">
      <c r="A83" s="327" t="s">
        <v>427</v>
      </c>
      <c r="B83" s="275" t="s">
        <v>697</v>
      </c>
      <c r="C83" s="275" t="s">
        <v>698</v>
      </c>
      <c r="D83" s="275"/>
      <c r="E83" s="279"/>
      <c r="I83" s="62"/>
      <c r="J83" s="62"/>
      <c r="K83" s="62"/>
      <c r="L83" s="62"/>
      <c r="AG83" s="62"/>
      <c r="AH83" s="62"/>
      <c r="AI83" s="62"/>
      <c r="AJ83" s="62"/>
      <c r="AK83" s="62"/>
      <c r="AL83" s="62"/>
      <c r="AM83" s="62"/>
      <c r="AN83" s="62"/>
      <c r="AO83" s="62"/>
      <c r="AP83" s="62"/>
    </row>
    <row r="84" spans="1:42" s="50" customFormat="1" hidden="1">
      <c r="A84" s="277" t="s">
        <v>630</v>
      </c>
      <c r="B84" s="276"/>
      <c r="C84" s="276"/>
      <c r="D84" s="276"/>
      <c r="E84" s="280"/>
      <c r="I84" s="62"/>
      <c r="J84" s="62"/>
      <c r="K84" s="62"/>
      <c r="L84" s="62"/>
      <c r="AG84" s="62"/>
      <c r="AH84" s="62"/>
      <c r="AI84" s="62"/>
      <c r="AJ84" s="62"/>
      <c r="AK84" s="62"/>
      <c r="AL84" s="62"/>
      <c r="AM84" s="62"/>
      <c r="AN84" s="62"/>
      <c r="AO84" s="62"/>
      <c r="AP84" s="62"/>
    </row>
    <row r="85" spans="1:42" s="50" customFormat="1" hidden="1">
      <c r="A85" s="327" t="s">
        <v>439</v>
      </c>
      <c r="B85" s="275" t="s">
        <v>702</v>
      </c>
      <c r="C85" s="275" t="s">
        <v>703</v>
      </c>
      <c r="D85" s="275" t="s">
        <v>701</v>
      </c>
      <c r="E85" s="279"/>
      <c r="I85" s="62"/>
      <c r="J85" s="62"/>
      <c r="K85" s="62"/>
      <c r="L85" s="62"/>
      <c r="AG85" s="62"/>
      <c r="AH85" s="62"/>
      <c r="AI85" s="62"/>
      <c r="AJ85" s="62"/>
      <c r="AK85" s="62"/>
      <c r="AL85" s="62"/>
      <c r="AM85" s="62"/>
      <c r="AN85" s="62"/>
      <c r="AO85" s="62"/>
      <c r="AP85" s="62"/>
    </row>
    <row r="86" spans="1:42" s="50" customFormat="1" hidden="1">
      <c r="A86" s="278" t="s">
        <v>438</v>
      </c>
      <c r="B86" s="276" t="s">
        <v>1036</v>
      </c>
      <c r="C86" s="276" t="s">
        <v>700</v>
      </c>
      <c r="D86" s="276"/>
      <c r="E86" s="280"/>
      <c r="I86" s="62"/>
      <c r="J86" s="62"/>
      <c r="K86" s="62"/>
      <c r="L86" s="62"/>
      <c r="AG86" s="62"/>
      <c r="AH86" s="62"/>
      <c r="AI86" s="62"/>
      <c r="AJ86" s="62"/>
      <c r="AK86" s="62"/>
      <c r="AL86" s="62"/>
      <c r="AM86" s="62"/>
      <c r="AN86" s="62"/>
      <c r="AO86" s="62"/>
      <c r="AP86" s="62"/>
    </row>
    <row r="87" spans="1:42" s="50" customFormat="1" hidden="1">
      <c r="AG87" s="62"/>
      <c r="AH87" s="62"/>
      <c r="AI87" s="62"/>
      <c r="AJ87" s="62"/>
      <c r="AK87" s="62"/>
      <c r="AL87" s="62"/>
      <c r="AM87" s="62"/>
      <c r="AN87" s="62"/>
      <c r="AO87" s="62"/>
      <c r="AP87" s="62"/>
    </row>
    <row r="88" spans="1:42" s="50" customFormat="1" hidden="1">
      <c r="AG88" s="62"/>
      <c r="AH88" s="62"/>
      <c r="AI88" s="62"/>
      <c r="AJ88" s="62"/>
      <c r="AK88" s="62"/>
      <c r="AL88" s="62"/>
      <c r="AM88" s="62"/>
      <c r="AN88" s="62"/>
      <c r="AO88" s="62"/>
      <c r="AP88" s="62"/>
    </row>
    <row r="89" spans="1:42" s="50" customFormat="1">
      <c r="AG89" s="62"/>
      <c r="AH89" s="62"/>
      <c r="AI89" s="62"/>
      <c r="AJ89" s="62"/>
      <c r="AK89" s="62"/>
      <c r="AL89" s="62"/>
      <c r="AM89" s="62"/>
      <c r="AN89" s="62"/>
      <c r="AO89" s="62"/>
      <c r="AP89" s="62"/>
    </row>
    <row r="90" spans="1:42" s="50" customFormat="1">
      <c r="AG90" s="62"/>
      <c r="AH90" s="62"/>
      <c r="AI90" s="62"/>
      <c r="AJ90" s="62"/>
      <c r="AK90" s="62"/>
      <c r="AL90" s="62"/>
      <c r="AM90" s="62"/>
      <c r="AN90" s="62"/>
      <c r="AO90" s="62"/>
      <c r="AP90" s="62"/>
    </row>
    <row r="91" spans="1:42" s="50" customFormat="1">
      <c r="AG91" s="62"/>
      <c r="AH91" s="62"/>
      <c r="AI91" s="62"/>
      <c r="AJ91" s="62"/>
      <c r="AK91" s="62"/>
      <c r="AL91" s="62"/>
      <c r="AM91" s="62"/>
      <c r="AN91" s="62"/>
      <c r="AO91" s="62"/>
      <c r="AP91" s="62"/>
    </row>
    <row r="92" spans="1:42" s="50" customFormat="1">
      <c r="AG92" s="62"/>
      <c r="AH92" s="62"/>
      <c r="AI92" s="62"/>
      <c r="AJ92" s="62"/>
      <c r="AK92" s="62"/>
      <c r="AL92" s="62"/>
      <c r="AM92" s="62"/>
      <c r="AN92" s="62"/>
      <c r="AO92" s="62"/>
      <c r="AP92" s="62"/>
    </row>
    <row r="93" spans="1:42" s="50" customFormat="1">
      <c r="AG93" s="62"/>
      <c r="AH93" s="62"/>
      <c r="AI93" s="62"/>
      <c r="AJ93" s="62"/>
      <c r="AK93" s="62"/>
      <c r="AL93" s="62"/>
      <c r="AM93" s="62"/>
      <c r="AN93" s="62"/>
      <c r="AO93" s="62"/>
      <c r="AP93" s="62"/>
    </row>
    <row r="94" spans="1:42">
      <c r="A94" s="50"/>
      <c r="B94" s="50"/>
      <c r="C94" s="50"/>
      <c r="D94" s="50"/>
      <c r="E94" s="50"/>
      <c r="F94" s="50"/>
      <c r="G94" s="50"/>
      <c r="H94" s="50"/>
      <c r="I94" s="50"/>
      <c r="J94" s="50"/>
      <c r="K94" s="50"/>
      <c r="L94" s="50"/>
      <c r="M94" s="50"/>
      <c r="N94" s="50"/>
      <c r="O94" s="50"/>
      <c r="P94" s="50"/>
      <c r="Q94" s="50"/>
      <c r="R94" s="50"/>
      <c r="S94" s="50"/>
      <c r="T94" s="50"/>
      <c r="U94" s="50"/>
      <c r="V94" s="50"/>
      <c r="W94" s="50"/>
      <c r="X94" s="50"/>
      <c r="Y94" s="50"/>
      <c r="Z94" s="50"/>
      <c r="AA94" s="50"/>
      <c r="AB94" s="50"/>
      <c r="AC94" s="50"/>
      <c r="AD94" s="50"/>
      <c r="AE94" s="50"/>
      <c r="AF94" s="50"/>
      <c r="AG94" s="62"/>
      <c r="AH94" s="62"/>
      <c r="AI94" s="62"/>
      <c r="AJ94" s="62"/>
      <c r="AK94" s="62"/>
      <c r="AL94" s="62"/>
      <c r="AM94" s="62"/>
      <c r="AN94" s="62"/>
      <c r="AO94" s="62"/>
      <c r="AP94" s="62"/>
    </row>
    <row r="95" spans="1:42">
      <c r="A95" s="50"/>
      <c r="B95" s="50"/>
      <c r="C95" s="50"/>
      <c r="D95" s="50"/>
      <c r="E95" s="50"/>
      <c r="F95" s="50"/>
      <c r="G95" s="50"/>
      <c r="H95" s="50"/>
      <c r="I95" s="50"/>
      <c r="J95" s="50"/>
      <c r="K95" s="50"/>
      <c r="L95" s="50"/>
      <c r="M95" s="50"/>
      <c r="N95" s="50"/>
      <c r="O95" s="50"/>
      <c r="P95" s="50"/>
      <c r="Q95" s="50"/>
      <c r="R95" s="50"/>
      <c r="S95" s="50"/>
      <c r="T95" s="50"/>
      <c r="U95" s="50"/>
      <c r="V95" s="50"/>
      <c r="W95" s="50"/>
      <c r="X95" s="50"/>
      <c r="Y95" s="50"/>
      <c r="Z95" s="50"/>
      <c r="AA95" s="50"/>
      <c r="AB95" s="50"/>
      <c r="AC95" s="50"/>
      <c r="AD95" s="50"/>
      <c r="AE95" s="50"/>
      <c r="AF95" s="50"/>
      <c r="AG95" s="62"/>
      <c r="AH95" s="62"/>
      <c r="AI95" s="62"/>
      <c r="AJ95" s="62"/>
      <c r="AK95" s="62"/>
      <c r="AL95" s="62"/>
      <c r="AM95" s="62"/>
      <c r="AN95" s="62"/>
      <c r="AO95" s="62"/>
      <c r="AP95" s="62"/>
    </row>
    <row r="96" spans="1:42">
      <c r="A96" s="50"/>
      <c r="B96" s="50"/>
      <c r="C96" s="50"/>
      <c r="D96" s="50"/>
      <c r="E96" s="50"/>
      <c r="F96" s="50"/>
      <c r="G96" s="50"/>
      <c r="H96" s="50"/>
      <c r="I96" s="50"/>
      <c r="J96" s="50"/>
      <c r="K96" s="50"/>
      <c r="L96" s="50"/>
      <c r="M96" s="50"/>
      <c r="N96" s="50"/>
      <c r="O96" s="50"/>
      <c r="P96" s="50"/>
      <c r="Q96" s="50"/>
      <c r="R96" s="50"/>
      <c r="S96" s="50"/>
      <c r="T96" s="50"/>
      <c r="U96" s="50"/>
      <c r="V96" s="50"/>
      <c r="W96" s="50"/>
      <c r="X96" s="50"/>
      <c r="Y96" s="50"/>
      <c r="Z96" s="50"/>
      <c r="AA96" s="50"/>
      <c r="AB96" s="50"/>
      <c r="AC96" s="50"/>
      <c r="AD96" s="50"/>
      <c r="AE96" s="50"/>
      <c r="AF96" s="50"/>
      <c r="AG96" s="62"/>
      <c r="AH96" s="62"/>
      <c r="AI96" s="62"/>
      <c r="AJ96" s="62"/>
      <c r="AK96" s="62"/>
      <c r="AL96" s="62"/>
      <c r="AM96" s="62"/>
      <c r="AN96" s="62"/>
      <c r="AO96" s="62"/>
      <c r="AP96" s="62"/>
    </row>
    <row r="97" spans="1:42">
      <c r="A97" s="50"/>
      <c r="B97" s="50"/>
      <c r="C97" s="50"/>
      <c r="D97" s="50"/>
      <c r="E97" s="50"/>
      <c r="F97" s="50"/>
      <c r="G97" s="50"/>
      <c r="H97" s="50"/>
      <c r="I97" s="50"/>
      <c r="J97" s="50"/>
      <c r="K97" s="50"/>
      <c r="L97" s="50"/>
      <c r="M97" s="50"/>
      <c r="N97" s="50"/>
      <c r="O97" s="50"/>
      <c r="P97" s="50"/>
      <c r="Q97" s="50"/>
      <c r="R97" s="50"/>
      <c r="S97" s="50"/>
      <c r="T97" s="50"/>
      <c r="U97" s="50"/>
      <c r="V97" s="50"/>
      <c r="W97" s="50"/>
      <c r="X97" s="50"/>
      <c r="Y97" s="50"/>
      <c r="Z97" s="50"/>
      <c r="AA97" s="50"/>
      <c r="AB97" s="50"/>
      <c r="AC97" s="50"/>
      <c r="AD97" s="50"/>
      <c r="AE97" s="50"/>
      <c r="AF97" s="50"/>
      <c r="AG97" s="62"/>
      <c r="AH97" s="62"/>
      <c r="AI97" s="62"/>
      <c r="AJ97" s="62"/>
      <c r="AK97" s="62"/>
      <c r="AL97" s="62"/>
      <c r="AM97" s="62"/>
      <c r="AN97" s="62"/>
      <c r="AO97" s="62"/>
      <c r="AP97" s="62"/>
    </row>
    <row r="98" spans="1:42">
      <c r="A98" s="50"/>
      <c r="B98" s="50"/>
      <c r="C98" s="50"/>
      <c r="D98" s="50"/>
      <c r="E98" s="50"/>
      <c r="F98" s="50"/>
      <c r="G98" s="50"/>
      <c r="H98" s="50"/>
      <c r="I98" s="50"/>
      <c r="J98" s="50"/>
      <c r="K98" s="50"/>
      <c r="L98" s="50"/>
      <c r="M98" s="50"/>
      <c r="N98" s="50"/>
      <c r="O98" s="50"/>
      <c r="P98" s="50"/>
      <c r="Q98" s="50"/>
      <c r="R98" s="50"/>
      <c r="S98" s="50"/>
      <c r="T98" s="50"/>
      <c r="U98" s="50"/>
      <c r="V98" s="50"/>
      <c r="W98" s="50"/>
      <c r="X98" s="50"/>
      <c r="Y98" s="50"/>
      <c r="Z98" s="50"/>
      <c r="AA98" s="50"/>
      <c r="AB98" s="50"/>
      <c r="AC98" s="50"/>
      <c r="AD98" s="50"/>
      <c r="AE98" s="50"/>
      <c r="AF98" s="50"/>
      <c r="AG98" s="62"/>
      <c r="AH98" s="62"/>
      <c r="AI98" s="62"/>
      <c r="AJ98" s="62"/>
      <c r="AK98" s="62"/>
      <c r="AL98" s="62"/>
      <c r="AM98" s="62"/>
      <c r="AN98" s="62"/>
      <c r="AO98" s="62"/>
      <c r="AP98" s="62"/>
    </row>
    <row r="99" spans="1:42">
      <c r="A99" s="50"/>
      <c r="B99" s="50"/>
      <c r="C99" s="50"/>
      <c r="D99" s="50"/>
      <c r="E99" s="50"/>
      <c r="F99" s="50"/>
      <c r="G99" s="50"/>
      <c r="H99" s="50"/>
      <c r="I99" s="50"/>
      <c r="J99" s="50"/>
      <c r="K99" s="50"/>
      <c r="L99" s="50"/>
      <c r="M99" s="50"/>
      <c r="N99" s="50"/>
      <c r="O99" s="50"/>
      <c r="P99" s="50"/>
      <c r="Q99" s="50"/>
      <c r="R99" s="50"/>
      <c r="S99" s="50"/>
      <c r="T99" s="50"/>
      <c r="U99" s="50"/>
      <c r="V99" s="50"/>
      <c r="W99" s="50"/>
      <c r="X99" s="50"/>
      <c r="Y99" s="50"/>
      <c r="Z99" s="50"/>
      <c r="AA99" s="50"/>
      <c r="AB99" s="50"/>
      <c r="AC99" s="50"/>
      <c r="AD99" s="50"/>
      <c r="AE99" s="50"/>
      <c r="AG99" s="62"/>
      <c r="AH99" s="62"/>
      <c r="AI99" s="62"/>
      <c r="AJ99" s="62"/>
      <c r="AK99" s="62"/>
      <c r="AL99" s="62"/>
      <c r="AM99" s="62"/>
      <c r="AN99" s="62"/>
      <c r="AO99" s="62"/>
      <c r="AP99" s="62"/>
    </row>
    <row r="100" spans="1:42">
      <c r="A100" s="50"/>
      <c r="B100" s="50"/>
      <c r="C100" s="50"/>
      <c r="D100" s="50"/>
      <c r="E100" s="50"/>
      <c r="F100" s="50"/>
      <c r="G100" s="50"/>
      <c r="H100" s="50"/>
      <c r="I100" s="50"/>
      <c r="J100" s="50"/>
      <c r="K100" s="50"/>
      <c r="L100" s="50"/>
      <c r="M100" s="50"/>
      <c r="N100" s="50"/>
      <c r="O100" s="50"/>
      <c r="P100" s="50"/>
      <c r="Q100" s="50"/>
      <c r="R100" s="50"/>
      <c r="S100" s="50"/>
      <c r="T100" s="50"/>
      <c r="U100" s="50"/>
      <c r="V100" s="50"/>
      <c r="W100" s="50"/>
      <c r="X100" s="50"/>
      <c r="Y100" s="50"/>
      <c r="Z100" s="50"/>
      <c r="AA100" s="50"/>
      <c r="AB100" s="50"/>
      <c r="AC100" s="50"/>
      <c r="AD100" s="50"/>
      <c r="AE100" s="50"/>
      <c r="AG100" s="62"/>
      <c r="AH100" s="62"/>
      <c r="AI100" s="62"/>
      <c r="AJ100" s="62"/>
      <c r="AK100" s="62"/>
      <c r="AL100" s="62"/>
      <c r="AM100" s="62"/>
      <c r="AN100" s="62"/>
      <c r="AO100" s="62"/>
      <c r="AP100" s="62"/>
    </row>
    <row r="101" spans="1:42">
      <c r="A101" s="50"/>
      <c r="B101" s="50"/>
      <c r="C101" s="50"/>
      <c r="D101" s="50"/>
      <c r="E101" s="50"/>
      <c r="F101" s="50"/>
      <c r="G101" s="50"/>
      <c r="H101" s="50"/>
      <c r="I101" s="50"/>
      <c r="J101" s="50"/>
      <c r="K101" s="50"/>
      <c r="L101" s="50"/>
      <c r="M101" s="50"/>
      <c r="N101" s="50"/>
      <c r="O101" s="50"/>
      <c r="P101" s="50"/>
      <c r="Q101" s="50"/>
      <c r="R101" s="50"/>
      <c r="S101" s="50"/>
      <c r="T101" s="50"/>
      <c r="U101" s="50"/>
      <c r="V101" s="50"/>
      <c r="W101" s="50"/>
      <c r="X101" s="50"/>
      <c r="Y101" s="50"/>
      <c r="Z101" s="50"/>
      <c r="AA101" s="50"/>
      <c r="AB101" s="50"/>
      <c r="AC101" s="50"/>
      <c r="AD101" s="50"/>
      <c r="AE101" s="50"/>
      <c r="AG101" s="62"/>
      <c r="AH101" s="62"/>
      <c r="AI101" s="62"/>
      <c r="AJ101" s="62"/>
      <c r="AK101" s="62"/>
      <c r="AL101" s="62"/>
      <c r="AM101" s="62"/>
      <c r="AN101" s="62"/>
      <c r="AO101" s="62"/>
      <c r="AP101" s="62"/>
    </row>
    <row r="102" spans="1:42">
      <c r="A102" s="50"/>
      <c r="B102" s="50"/>
      <c r="C102" s="50"/>
      <c r="D102" s="50"/>
      <c r="E102" s="50"/>
      <c r="F102" s="50"/>
      <c r="G102" s="50"/>
      <c r="H102" s="50"/>
      <c r="I102" s="50"/>
      <c r="J102" s="50"/>
      <c r="K102" s="50"/>
      <c r="L102" s="50"/>
      <c r="M102" s="50"/>
      <c r="N102" s="50"/>
      <c r="O102" s="50"/>
      <c r="P102" s="50"/>
      <c r="Q102" s="50"/>
      <c r="R102" s="50"/>
      <c r="S102" s="50"/>
      <c r="T102" s="50"/>
      <c r="U102" s="50"/>
      <c r="V102" s="50"/>
      <c r="W102" s="50"/>
      <c r="X102" s="50"/>
      <c r="Y102" s="50"/>
      <c r="Z102" s="50"/>
      <c r="AA102" s="50"/>
      <c r="AB102" s="50"/>
      <c r="AC102" s="50"/>
      <c r="AD102" s="50"/>
      <c r="AE102" s="50"/>
    </row>
    <row r="103" spans="1:42">
      <c r="A103" s="50"/>
      <c r="B103" s="50"/>
      <c r="C103" s="50"/>
      <c r="D103" s="50"/>
      <c r="E103" s="50"/>
      <c r="F103" s="50"/>
      <c r="G103" s="50"/>
      <c r="H103" s="50"/>
      <c r="I103" s="50"/>
      <c r="J103" s="50"/>
      <c r="K103" s="50"/>
      <c r="L103" s="50"/>
      <c r="M103" s="50"/>
      <c r="N103" s="50"/>
      <c r="O103" s="50"/>
      <c r="P103" s="50"/>
      <c r="Q103" s="50"/>
      <c r="R103" s="50"/>
      <c r="S103" s="50"/>
      <c r="T103" s="50"/>
      <c r="U103" s="50"/>
      <c r="V103" s="50"/>
      <c r="W103" s="50"/>
      <c r="X103" s="50"/>
      <c r="Y103" s="50"/>
      <c r="Z103" s="50"/>
      <c r="AA103" s="50"/>
      <c r="AB103" s="50"/>
      <c r="AC103" s="50"/>
      <c r="AD103" s="50"/>
      <c r="AE103" s="50"/>
    </row>
    <row r="104" spans="1:42">
      <c r="A104" s="50"/>
      <c r="B104" s="50"/>
      <c r="C104" s="50"/>
      <c r="D104" s="50"/>
      <c r="E104" s="50"/>
      <c r="F104" s="50"/>
      <c r="G104" s="50"/>
      <c r="H104" s="50"/>
      <c r="I104" s="50"/>
      <c r="J104" s="50"/>
      <c r="K104" s="50"/>
      <c r="L104" s="50"/>
      <c r="M104" s="50"/>
      <c r="N104" s="50"/>
      <c r="O104" s="50"/>
      <c r="P104" s="50"/>
      <c r="Q104" s="50"/>
      <c r="R104" s="50"/>
      <c r="S104" s="50"/>
      <c r="T104" s="50"/>
      <c r="U104" s="50"/>
      <c r="V104" s="50"/>
      <c r="W104" s="50"/>
      <c r="X104" s="50"/>
      <c r="Y104" s="50"/>
      <c r="Z104" s="50"/>
      <c r="AA104" s="50"/>
      <c r="AB104" s="50"/>
      <c r="AC104" s="50"/>
      <c r="AD104" s="50"/>
      <c r="AE104" s="50"/>
    </row>
    <row r="105" spans="1:42">
      <c r="A105" s="50"/>
      <c r="B105" s="50"/>
      <c r="C105" s="50"/>
      <c r="D105" s="50"/>
      <c r="E105" s="50"/>
      <c r="F105" s="50"/>
      <c r="G105" s="50"/>
      <c r="H105" s="50"/>
      <c r="I105" s="50"/>
      <c r="J105" s="50"/>
      <c r="K105" s="50"/>
      <c r="L105" s="50"/>
      <c r="M105" s="50"/>
      <c r="N105" s="50"/>
      <c r="O105" s="50"/>
      <c r="P105" s="50"/>
      <c r="Q105" s="50"/>
      <c r="R105" s="50"/>
      <c r="S105" s="50"/>
      <c r="T105" s="50"/>
      <c r="U105" s="50"/>
      <c r="V105" s="50"/>
      <c r="W105" s="50"/>
      <c r="X105" s="50"/>
      <c r="Y105" s="50"/>
      <c r="Z105" s="50"/>
      <c r="AA105" s="50"/>
      <c r="AB105" s="50"/>
      <c r="AC105" s="50"/>
      <c r="AD105" s="50"/>
      <c r="AE105" s="50"/>
    </row>
    <row r="106" spans="1:42">
      <c r="A106" s="50"/>
      <c r="B106" s="50"/>
      <c r="C106" s="50"/>
      <c r="D106" s="50"/>
      <c r="E106" s="50"/>
      <c r="F106" s="50"/>
      <c r="G106" s="50"/>
      <c r="H106" s="50"/>
      <c r="I106" s="50"/>
      <c r="J106" s="50"/>
      <c r="K106" s="50"/>
      <c r="L106" s="50"/>
      <c r="M106" s="50"/>
      <c r="N106" s="50"/>
      <c r="O106" s="50"/>
      <c r="P106" s="50"/>
      <c r="Q106" s="50"/>
      <c r="R106" s="50"/>
      <c r="S106" s="50"/>
      <c r="T106" s="50"/>
      <c r="U106" s="50"/>
      <c r="V106" s="50"/>
      <c r="W106" s="50"/>
      <c r="X106" s="50"/>
      <c r="Y106" s="50"/>
      <c r="Z106" s="50"/>
      <c r="AA106" s="50"/>
      <c r="AB106" s="50"/>
      <c r="AC106" s="50"/>
      <c r="AD106" s="50"/>
      <c r="AE106" s="50"/>
      <c r="AF106" s="50"/>
      <c r="AG106" s="50"/>
      <c r="AH106" s="50"/>
      <c r="AI106" s="50"/>
      <c r="AJ106" s="50"/>
      <c r="AK106" s="50"/>
      <c r="AL106" s="50"/>
      <c r="AM106" s="50"/>
      <c r="AN106" s="50"/>
    </row>
    <row r="107" spans="1:42">
      <c r="A107" s="50"/>
      <c r="B107" s="50"/>
      <c r="C107" s="50"/>
      <c r="D107" s="50"/>
      <c r="E107" s="50"/>
      <c r="F107" s="50"/>
      <c r="G107" s="50"/>
      <c r="H107" s="50"/>
      <c r="I107" s="50"/>
      <c r="J107" s="50"/>
      <c r="K107" s="50"/>
      <c r="L107" s="50"/>
      <c r="M107" s="50"/>
      <c r="N107" s="50"/>
      <c r="O107" s="50"/>
      <c r="P107" s="50"/>
      <c r="Q107" s="50"/>
      <c r="R107" s="50"/>
      <c r="S107" s="50"/>
      <c r="T107" s="50"/>
      <c r="U107" s="50"/>
      <c r="V107" s="50"/>
      <c r="W107" s="50"/>
      <c r="X107" s="50"/>
      <c r="Y107" s="50"/>
      <c r="Z107" s="50"/>
      <c r="AA107" s="50"/>
      <c r="AB107" s="50"/>
      <c r="AC107" s="50"/>
      <c r="AD107" s="50"/>
      <c r="AE107" s="50"/>
      <c r="AF107" s="50"/>
      <c r="AG107" s="50"/>
      <c r="AH107" s="50"/>
      <c r="AI107" s="50"/>
      <c r="AJ107" s="50"/>
      <c r="AK107" s="50"/>
      <c r="AL107" s="50"/>
      <c r="AM107" s="50"/>
      <c r="AN107" s="50"/>
    </row>
    <row r="108" spans="1:42">
      <c r="A108" s="50"/>
      <c r="B108" s="50"/>
      <c r="C108" s="50"/>
      <c r="D108" s="50"/>
      <c r="E108" s="50"/>
      <c r="F108" s="50"/>
      <c r="G108" s="50"/>
      <c r="H108" s="50"/>
      <c r="I108" s="50"/>
      <c r="J108" s="50"/>
      <c r="K108" s="50"/>
      <c r="L108" s="50"/>
      <c r="M108" s="50"/>
      <c r="N108" s="50"/>
      <c r="O108" s="50"/>
      <c r="P108" s="50"/>
      <c r="Q108" s="50"/>
      <c r="R108" s="50"/>
      <c r="S108" s="50"/>
      <c r="T108" s="50"/>
      <c r="U108" s="50"/>
      <c r="V108" s="50"/>
      <c r="W108" s="50"/>
      <c r="X108" s="50"/>
      <c r="Y108" s="50"/>
      <c r="Z108" s="50"/>
      <c r="AA108" s="50"/>
      <c r="AB108" s="50"/>
      <c r="AC108" s="50"/>
      <c r="AD108" s="50"/>
      <c r="AE108" s="50"/>
      <c r="AF108" s="50"/>
      <c r="AG108" s="50"/>
      <c r="AH108" s="50"/>
      <c r="AI108" s="50"/>
      <c r="AJ108" s="50"/>
      <c r="AK108" s="50"/>
      <c r="AL108" s="50"/>
      <c r="AM108" s="50"/>
      <c r="AN108" s="50"/>
    </row>
    <row r="109" spans="1:42">
      <c r="A109" s="50"/>
      <c r="B109" s="50"/>
      <c r="C109" s="50"/>
      <c r="D109" s="50"/>
      <c r="E109" s="50"/>
      <c r="F109" s="50"/>
      <c r="G109" s="50"/>
      <c r="H109" s="50"/>
      <c r="I109" s="50"/>
      <c r="J109" s="50"/>
      <c r="K109" s="50"/>
      <c r="L109" s="50"/>
      <c r="M109" s="50"/>
      <c r="N109" s="50"/>
      <c r="O109" s="50"/>
      <c r="P109" s="50"/>
      <c r="Q109" s="50"/>
      <c r="R109" s="50"/>
      <c r="S109" s="50"/>
      <c r="T109" s="50"/>
      <c r="U109" s="50"/>
      <c r="V109" s="50"/>
      <c r="W109" s="50"/>
      <c r="X109" s="50"/>
      <c r="Y109" s="50"/>
      <c r="Z109" s="50"/>
      <c r="AA109" s="50"/>
      <c r="AB109" s="50"/>
      <c r="AC109" s="50"/>
      <c r="AD109" s="50"/>
      <c r="AE109" s="50"/>
      <c r="AF109" s="50"/>
      <c r="AG109" s="50"/>
      <c r="AH109" s="50"/>
      <c r="AI109" s="50"/>
      <c r="AJ109" s="50"/>
      <c r="AK109" s="50"/>
      <c r="AL109" s="50"/>
      <c r="AM109" s="50"/>
      <c r="AN109" s="50"/>
    </row>
    <row r="110" spans="1:42">
      <c r="A110" s="50"/>
      <c r="B110" s="50"/>
      <c r="C110" s="50"/>
      <c r="D110" s="50"/>
      <c r="E110" s="50"/>
      <c r="F110" s="50"/>
      <c r="G110" s="50"/>
      <c r="H110" s="50"/>
      <c r="I110" s="50"/>
      <c r="J110" s="50"/>
      <c r="K110" s="50"/>
      <c r="L110" s="50"/>
      <c r="M110" s="50"/>
      <c r="N110" s="50"/>
      <c r="O110" s="50"/>
      <c r="P110" s="50"/>
      <c r="Q110" s="50"/>
      <c r="R110" s="50"/>
      <c r="S110" s="50"/>
      <c r="T110" s="50"/>
      <c r="U110" s="50"/>
      <c r="V110" s="50"/>
      <c r="W110" s="50"/>
      <c r="X110" s="50"/>
      <c r="Y110" s="50"/>
      <c r="Z110" s="50"/>
      <c r="AA110" s="50"/>
      <c r="AB110" s="50"/>
      <c r="AC110" s="50"/>
      <c r="AD110" s="50"/>
      <c r="AE110" s="50"/>
      <c r="AF110" s="50"/>
      <c r="AG110" s="50"/>
      <c r="AH110" s="50"/>
      <c r="AI110" s="50"/>
      <c r="AJ110" s="50"/>
      <c r="AK110" s="50"/>
      <c r="AL110" s="50"/>
      <c r="AM110" s="50"/>
      <c r="AN110" s="50"/>
    </row>
    <row r="111" spans="1:42">
      <c r="A111" s="50"/>
      <c r="B111" s="50"/>
      <c r="C111" s="50"/>
      <c r="D111" s="50"/>
      <c r="E111" s="50"/>
      <c r="F111" s="50"/>
      <c r="G111" s="50"/>
      <c r="H111" s="50"/>
      <c r="I111" s="50"/>
      <c r="J111" s="50"/>
      <c r="K111" s="50"/>
      <c r="L111" s="50"/>
      <c r="M111" s="50"/>
      <c r="N111" s="50"/>
      <c r="O111" s="50"/>
      <c r="P111" s="50"/>
      <c r="Q111" s="50"/>
      <c r="R111" s="50"/>
      <c r="S111" s="50"/>
      <c r="T111" s="50"/>
      <c r="U111" s="50"/>
      <c r="V111" s="50"/>
      <c r="W111" s="50"/>
      <c r="X111" s="50"/>
      <c r="Y111" s="50"/>
      <c r="Z111" s="50"/>
      <c r="AA111" s="50"/>
      <c r="AB111" s="50"/>
      <c r="AC111" s="50"/>
      <c r="AD111" s="50"/>
      <c r="AE111" s="50"/>
      <c r="AF111" s="50"/>
      <c r="AG111" s="50"/>
      <c r="AH111" s="50"/>
      <c r="AI111" s="50"/>
      <c r="AJ111" s="50"/>
      <c r="AK111" s="50"/>
      <c r="AL111" s="50"/>
      <c r="AM111" s="50"/>
      <c r="AN111" s="50"/>
    </row>
    <row r="112" spans="1:42">
      <c r="A112" s="50"/>
      <c r="B112" s="50"/>
      <c r="C112" s="50"/>
      <c r="D112" s="50"/>
      <c r="E112" s="50"/>
      <c r="F112" s="50"/>
      <c r="G112" s="50"/>
      <c r="H112" s="50"/>
      <c r="I112" s="50"/>
      <c r="J112" s="50"/>
      <c r="K112" s="50"/>
      <c r="L112" s="50"/>
      <c r="M112" s="50"/>
      <c r="N112" s="50"/>
      <c r="O112" s="50"/>
      <c r="P112" s="50"/>
      <c r="Q112" s="50"/>
      <c r="R112" s="50"/>
      <c r="S112" s="50"/>
      <c r="T112" s="50"/>
      <c r="U112" s="50"/>
      <c r="V112" s="50"/>
      <c r="W112" s="50"/>
      <c r="X112" s="50"/>
      <c r="Y112" s="50"/>
      <c r="Z112" s="50"/>
      <c r="AA112" s="50"/>
      <c r="AB112" s="50"/>
      <c r="AC112" s="50"/>
      <c r="AD112" s="50"/>
      <c r="AE112" s="50"/>
      <c r="AF112" s="50"/>
      <c r="AG112" s="50"/>
      <c r="AH112" s="50"/>
      <c r="AI112" s="50"/>
      <c r="AJ112" s="50"/>
      <c r="AK112" s="50"/>
      <c r="AL112" s="50"/>
      <c r="AM112" s="50"/>
      <c r="AN112" s="50"/>
    </row>
    <row r="113" spans="1:40">
      <c r="A113" s="50"/>
      <c r="B113" s="50"/>
      <c r="C113" s="50"/>
      <c r="D113" s="50"/>
      <c r="E113" s="50"/>
      <c r="F113" s="50"/>
      <c r="G113" s="50"/>
      <c r="H113" s="50"/>
      <c r="I113" s="50"/>
      <c r="J113" s="50"/>
      <c r="K113" s="50"/>
      <c r="L113" s="50"/>
      <c r="M113" s="50"/>
      <c r="N113" s="50"/>
      <c r="O113" s="50"/>
      <c r="P113" s="50"/>
      <c r="Q113" s="50"/>
      <c r="R113" s="50"/>
      <c r="S113" s="50"/>
      <c r="T113" s="50"/>
      <c r="U113" s="50"/>
      <c r="V113" s="50"/>
      <c r="W113" s="50"/>
      <c r="X113" s="50"/>
      <c r="Y113" s="50"/>
      <c r="Z113" s="50"/>
      <c r="AA113" s="50"/>
      <c r="AB113" s="50"/>
      <c r="AC113" s="50"/>
      <c r="AD113" s="50"/>
      <c r="AE113" s="50"/>
      <c r="AF113" s="50"/>
      <c r="AG113" s="50"/>
      <c r="AH113" s="50"/>
      <c r="AI113" s="50"/>
      <c r="AJ113" s="50"/>
      <c r="AK113" s="50"/>
      <c r="AL113" s="50"/>
      <c r="AM113" s="50"/>
      <c r="AN113" s="50"/>
    </row>
    <row r="114" spans="1:40">
      <c r="A114" s="50"/>
      <c r="B114" s="50"/>
      <c r="C114" s="50"/>
      <c r="D114" s="50"/>
      <c r="E114" s="50"/>
      <c r="F114" s="50"/>
      <c r="G114" s="50"/>
      <c r="H114" s="50"/>
      <c r="I114" s="50"/>
      <c r="J114" s="50"/>
      <c r="K114" s="50"/>
      <c r="L114" s="50"/>
      <c r="M114" s="50"/>
      <c r="N114" s="50"/>
      <c r="O114" s="50"/>
      <c r="P114" s="50"/>
      <c r="Q114" s="50"/>
      <c r="R114" s="50"/>
      <c r="S114" s="50"/>
      <c r="T114" s="50"/>
      <c r="U114" s="50"/>
      <c r="V114" s="50"/>
      <c r="W114" s="50"/>
      <c r="X114" s="50"/>
      <c r="Y114" s="50"/>
      <c r="Z114" s="50"/>
      <c r="AA114" s="50"/>
      <c r="AB114" s="50"/>
      <c r="AC114" s="50"/>
      <c r="AD114" s="50"/>
      <c r="AE114" s="50"/>
      <c r="AF114" s="50"/>
      <c r="AG114" s="50"/>
      <c r="AH114" s="50"/>
      <c r="AI114" s="50"/>
      <c r="AJ114" s="50"/>
      <c r="AK114" s="50"/>
      <c r="AL114" s="50"/>
      <c r="AM114" s="50"/>
      <c r="AN114" s="50"/>
    </row>
    <row r="115" spans="1:40">
      <c r="A115" s="50"/>
      <c r="B115" s="50"/>
      <c r="C115" s="50"/>
      <c r="D115" s="50"/>
      <c r="E115" s="50"/>
      <c r="F115" s="50"/>
      <c r="G115" s="50"/>
      <c r="H115" s="50"/>
      <c r="I115" s="50"/>
      <c r="J115" s="50"/>
      <c r="K115" s="50"/>
      <c r="L115" s="50"/>
      <c r="M115" s="50"/>
      <c r="N115" s="50"/>
      <c r="O115" s="50"/>
      <c r="P115" s="50"/>
      <c r="Q115" s="50"/>
      <c r="R115" s="50"/>
      <c r="S115" s="50"/>
      <c r="T115" s="50"/>
      <c r="U115" s="50"/>
      <c r="V115" s="50"/>
      <c r="W115" s="50"/>
      <c r="X115" s="50"/>
      <c r="Y115" s="50"/>
      <c r="Z115" s="50"/>
      <c r="AA115" s="50"/>
      <c r="AB115" s="50"/>
      <c r="AC115" s="50"/>
      <c r="AD115" s="50"/>
      <c r="AE115" s="50"/>
      <c r="AF115" s="50"/>
      <c r="AG115" s="50"/>
      <c r="AH115" s="50"/>
      <c r="AI115" s="50"/>
      <c r="AJ115" s="50"/>
      <c r="AK115" s="50"/>
      <c r="AL115" s="50"/>
      <c r="AM115" s="50"/>
      <c r="AN115" s="50"/>
    </row>
    <row r="116" spans="1:40">
      <c r="A116" s="50"/>
      <c r="B116" s="50"/>
      <c r="C116" s="50"/>
      <c r="D116" s="50"/>
      <c r="E116" s="50"/>
      <c r="F116" s="50"/>
      <c r="G116" s="50"/>
      <c r="H116" s="50"/>
      <c r="I116" s="50"/>
      <c r="J116" s="50"/>
      <c r="K116" s="50"/>
      <c r="L116" s="50"/>
      <c r="M116" s="50"/>
      <c r="N116" s="50"/>
      <c r="O116" s="50"/>
      <c r="P116" s="50"/>
      <c r="Q116" s="50"/>
      <c r="R116" s="50"/>
      <c r="S116" s="50"/>
      <c r="T116" s="50"/>
      <c r="U116" s="50"/>
      <c r="V116" s="50"/>
      <c r="W116" s="50"/>
      <c r="X116" s="50"/>
      <c r="Y116" s="50"/>
      <c r="Z116" s="50"/>
      <c r="AA116" s="50"/>
      <c r="AB116" s="50"/>
      <c r="AC116" s="50"/>
      <c r="AD116" s="50"/>
      <c r="AE116" s="50"/>
      <c r="AF116" s="50"/>
      <c r="AG116" s="50"/>
      <c r="AH116" s="50"/>
      <c r="AI116" s="50"/>
      <c r="AJ116" s="50"/>
      <c r="AK116" s="50"/>
      <c r="AL116" s="50"/>
      <c r="AM116" s="50"/>
      <c r="AN116" s="50"/>
    </row>
    <row r="117" spans="1:40">
      <c r="A117" s="50"/>
      <c r="B117" s="50"/>
      <c r="C117" s="50"/>
      <c r="D117" s="50"/>
      <c r="E117" s="50"/>
      <c r="F117" s="50"/>
      <c r="G117" s="50"/>
      <c r="H117" s="50"/>
      <c r="I117" s="50"/>
      <c r="J117" s="50"/>
      <c r="K117" s="50"/>
      <c r="L117" s="50"/>
      <c r="M117" s="50"/>
      <c r="N117" s="50"/>
      <c r="O117" s="50"/>
      <c r="P117" s="50"/>
      <c r="Q117" s="50"/>
      <c r="R117" s="50"/>
      <c r="S117" s="50"/>
      <c r="T117" s="50"/>
      <c r="U117" s="50"/>
      <c r="V117" s="50"/>
      <c r="W117" s="50"/>
      <c r="X117" s="50"/>
      <c r="Y117" s="50"/>
      <c r="Z117" s="50"/>
      <c r="AA117" s="50"/>
      <c r="AB117" s="50"/>
      <c r="AC117" s="50"/>
      <c r="AD117" s="50"/>
      <c r="AE117" s="50"/>
      <c r="AF117" s="50"/>
      <c r="AG117" s="50"/>
      <c r="AH117" s="50"/>
      <c r="AI117" s="50"/>
      <c r="AJ117" s="50"/>
      <c r="AK117" s="50"/>
      <c r="AL117" s="50"/>
      <c r="AM117" s="50"/>
      <c r="AN117" s="50"/>
    </row>
    <row r="118" spans="1:40">
      <c r="A118" s="50"/>
      <c r="B118" s="50"/>
      <c r="C118" s="50"/>
      <c r="D118" s="50"/>
      <c r="E118" s="50"/>
      <c r="F118" s="50"/>
      <c r="G118" s="50"/>
      <c r="H118" s="50"/>
      <c r="I118" s="50"/>
      <c r="J118" s="50"/>
      <c r="K118" s="50"/>
      <c r="L118" s="50"/>
      <c r="M118" s="50"/>
      <c r="N118" s="50"/>
      <c r="O118" s="50"/>
      <c r="P118" s="50"/>
      <c r="Q118" s="50"/>
      <c r="R118" s="50"/>
      <c r="S118" s="50"/>
      <c r="T118" s="50"/>
      <c r="U118" s="50"/>
      <c r="V118" s="50"/>
      <c r="W118" s="50"/>
      <c r="X118" s="50"/>
      <c r="Y118" s="50"/>
      <c r="Z118" s="50"/>
      <c r="AA118" s="50"/>
      <c r="AB118" s="50"/>
      <c r="AC118" s="50"/>
      <c r="AD118" s="50"/>
      <c r="AE118" s="50"/>
      <c r="AF118" s="50"/>
      <c r="AG118" s="50"/>
      <c r="AH118" s="50"/>
      <c r="AI118" s="50"/>
      <c r="AJ118" s="50"/>
      <c r="AK118" s="50"/>
      <c r="AL118" s="50"/>
      <c r="AM118" s="50"/>
      <c r="AN118" s="50"/>
    </row>
    <row r="119" spans="1:40">
      <c r="A119" s="50"/>
      <c r="B119" s="50"/>
      <c r="C119" s="50"/>
      <c r="D119" s="50"/>
      <c r="E119" s="50"/>
      <c r="F119" s="50"/>
      <c r="G119" s="50"/>
      <c r="H119" s="50"/>
      <c r="I119" s="50"/>
      <c r="J119" s="50"/>
      <c r="K119" s="50"/>
      <c r="L119" s="50"/>
      <c r="M119" s="50"/>
      <c r="N119" s="50"/>
      <c r="O119" s="50"/>
      <c r="P119" s="50"/>
      <c r="Q119" s="50"/>
      <c r="R119" s="50"/>
      <c r="S119" s="50"/>
      <c r="T119" s="50"/>
      <c r="U119" s="50"/>
      <c r="V119" s="50"/>
      <c r="W119" s="50"/>
      <c r="X119" s="50"/>
      <c r="Y119" s="50"/>
      <c r="Z119" s="50"/>
      <c r="AA119" s="50"/>
      <c r="AB119" s="50"/>
      <c r="AC119" s="50"/>
      <c r="AD119" s="50"/>
      <c r="AE119" s="50"/>
      <c r="AF119" s="50"/>
      <c r="AG119" s="50"/>
      <c r="AH119" s="50"/>
      <c r="AI119" s="50"/>
      <c r="AJ119" s="50"/>
      <c r="AK119" s="50"/>
      <c r="AL119" s="50"/>
      <c r="AM119" s="50"/>
      <c r="AN119" s="50"/>
    </row>
    <row r="120" spans="1:40">
      <c r="A120" s="50"/>
      <c r="B120" s="50"/>
      <c r="C120" s="50"/>
      <c r="D120" s="50"/>
      <c r="E120" s="50"/>
      <c r="F120" s="50"/>
      <c r="G120" s="50"/>
      <c r="H120" s="50"/>
      <c r="I120" s="50"/>
      <c r="J120" s="50"/>
      <c r="K120" s="50"/>
      <c r="L120" s="50"/>
      <c r="M120" s="50"/>
      <c r="N120" s="50"/>
      <c r="O120" s="50"/>
      <c r="P120" s="50"/>
      <c r="Q120" s="50"/>
      <c r="R120" s="50"/>
      <c r="S120" s="50"/>
      <c r="T120" s="50"/>
      <c r="U120" s="50"/>
      <c r="V120" s="50"/>
      <c r="W120" s="50"/>
      <c r="X120" s="50"/>
      <c r="Y120" s="50"/>
      <c r="Z120" s="50"/>
      <c r="AA120" s="50"/>
      <c r="AB120" s="50"/>
      <c r="AC120" s="50"/>
      <c r="AD120" s="50"/>
      <c r="AE120" s="50"/>
      <c r="AF120" s="50"/>
      <c r="AG120" s="50"/>
      <c r="AH120" s="50"/>
      <c r="AI120" s="50"/>
      <c r="AJ120" s="50"/>
      <c r="AK120" s="50"/>
      <c r="AL120" s="50"/>
      <c r="AM120" s="50"/>
      <c r="AN120" s="50"/>
    </row>
    <row r="121" spans="1:40">
      <c r="A121" s="50"/>
      <c r="B121" s="50"/>
      <c r="C121" s="50"/>
      <c r="D121" s="50"/>
      <c r="E121" s="50"/>
      <c r="F121" s="50"/>
      <c r="G121" s="50"/>
      <c r="H121" s="50"/>
      <c r="I121" s="50"/>
      <c r="J121" s="50"/>
      <c r="K121" s="50"/>
      <c r="L121" s="50"/>
      <c r="M121" s="50"/>
      <c r="N121" s="50"/>
      <c r="O121" s="50"/>
      <c r="P121" s="50"/>
      <c r="Q121" s="50"/>
      <c r="R121" s="50"/>
      <c r="S121" s="50"/>
      <c r="T121" s="50"/>
      <c r="U121" s="50"/>
      <c r="V121" s="50"/>
      <c r="W121" s="50"/>
      <c r="X121" s="50"/>
      <c r="Y121" s="50"/>
      <c r="Z121" s="50"/>
      <c r="AA121" s="50"/>
      <c r="AB121" s="50"/>
      <c r="AC121" s="50"/>
      <c r="AD121" s="50"/>
      <c r="AE121" s="50"/>
      <c r="AF121" s="50"/>
      <c r="AG121" s="50"/>
      <c r="AH121" s="50"/>
      <c r="AI121" s="50"/>
      <c r="AJ121" s="50"/>
      <c r="AK121" s="50"/>
      <c r="AL121" s="50"/>
      <c r="AM121" s="50"/>
      <c r="AN121" s="50"/>
    </row>
    <row r="122" spans="1:40">
      <c r="A122" s="50"/>
      <c r="B122" s="50"/>
      <c r="C122" s="50"/>
      <c r="D122" s="50"/>
      <c r="E122" s="50"/>
      <c r="F122" s="50"/>
      <c r="G122" s="50"/>
      <c r="H122" s="50"/>
      <c r="I122" s="50"/>
      <c r="J122" s="50"/>
      <c r="K122" s="50"/>
      <c r="L122" s="50"/>
      <c r="M122" s="50"/>
      <c r="N122" s="50"/>
      <c r="O122" s="50"/>
      <c r="P122" s="50"/>
      <c r="Q122" s="50"/>
      <c r="R122" s="50"/>
      <c r="S122" s="50"/>
      <c r="T122" s="50"/>
      <c r="U122" s="50"/>
      <c r="V122" s="50"/>
      <c r="W122" s="50"/>
      <c r="X122" s="50"/>
      <c r="Y122" s="50"/>
      <c r="Z122" s="50"/>
      <c r="AA122" s="50"/>
      <c r="AB122" s="50"/>
      <c r="AC122" s="50"/>
      <c r="AD122" s="50"/>
      <c r="AE122" s="50"/>
      <c r="AF122" s="50"/>
      <c r="AG122" s="50"/>
      <c r="AH122" s="50"/>
      <c r="AI122" s="50"/>
      <c r="AJ122" s="50"/>
      <c r="AK122" s="50"/>
      <c r="AL122" s="50"/>
      <c r="AM122" s="50"/>
      <c r="AN122" s="50"/>
    </row>
    <row r="123" spans="1:40">
      <c r="A123" s="50"/>
      <c r="B123" s="50"/>
      <c r="C123" s="50"/>
      <c r="D123" s="50"/>
      <c r="E123" s="50"/>
      <c r="F123" s="50"/>
      <c r="G123" s="50"/>
      <c r="H123" s="50"/>
      <c r="I123" s="50"/>
      <c r="J123" s="50"/>
      <c r="K123" s="50"/>
      <c r="L123" s="50"/>
      <c r="M123" s="50"/>
      <c r="N123" s="50"/>
      <c r="O123" s="50"/>
      <c r="P123" s="50"/>
      <c r="Q123" s="50"/>
      <c r="R123" s="50"/>
      <c r="S123" s="50"/>
      <c r="T123" s="50"/>
      <c r="U123" s="50"/>
      <c r="V123" s="50"/>
      <c r="W123" s="50"/>
      <c r="X123" s="50"/>
      <c r="Y123" s="50"/>
      <c r="Z123" s="50"/>
      <c r="AA123" s="50"/>
      <c r="AB123" s="50"/>
      <c r="AC123" s="50"/>
      <c r="AD123" s="50"/>
      <c r="AE123" s="50"/>
      <c r="AF123" s="50"/>
      <c r="AG123" s="50"/>
      <c r="AH123" s="50"/>
      <c r="AI123" s="50"/>
      <c r="AJ123" s="50"/>
      <c r="AK123" s="50"/>
      <c r="AL123" s="50"/>
      <c r="AM123" s="50"/>
      <c r="AN123" s="50"/>
    </row>
    <row r="124" spans="1:40">
      <c r="A124" s="50"/>
      <c r="B124" s="50"/>
      <c r="C124" s="50"/>
      <c r="D124" s="50"/>
      <c r="E124" s="50"/>
      <c r="F124" s="50"/>
      <c r="G124" s="50"/>
      <c r="H124" s="50"/>
      <c r="I124" s="50"/>
      <c r="J124" s="50"/>
      <c r="K124" s="50"/>
      <c r="L124" s="50"/>
      <c r="M124" s="50"/>
      <c r="N124" s="50"/>
      <c r="O124" s="50"/>
      <c r="P124" s="50"/>
      <c r="Q124" s="50"/>
      <c r="R124" s="50"/>
      <c r="S124" s="50"/>
      <c r="T124" s="50"/>
      <c r="U124" s="50"/>
      <c r="V124" s="50"/>
      <c r="W124" s="50"/>
      <c r="X124" s="50"/>
      <c r="Y124" s="50"/>
      <c r="Z124" s="50"/>
      <c r="AA124" s="50"/>
      <c r="AB124" s="50"/>
      <c r="AC124" s="50"/>
      <c r="AD124" s="50"/>
      <c r="AE124" s="50"/>
      <c r="AF124" s="50"/>
      <c r="AG124" s="50"/>
      <c r="AH124" s="50"/>
      <c r="AI124" s="50"/>
      <c r="AJ124" s="50"/>
      <c r="AK124" s="50"/>
      <c r="AL124" s="50"/>
      <c r="AM124" s="50"/>
      <c r="AN124" s="50"/>
    </row>
    <row r="125" spans="1:40">
      <c r="A125" s="50"/>
      <c r="B125" s="50"/>
      <c r="C125" s="50"/>
      <c r="D125" s="50"/>
      <c r="E125" s="50"/>
      <c r="F125" s="50"/>
      <c r="G125" s="50"/>
      <c r="H125" s="50"/>
      <c r="I125" s="50"/>
      <c r="J125" s="50"/>
      <c r="K125" s="50"/>
      <c r="L125" s="50"/>
      <c r="M125" s="50"/>
      <c r="N125" s="50"/>
      <c r="O125" s="50"/>
      <c r="P125" s="50"/>
      <c r="Q125" s="50"/>
      <c r="R125" s="50"/>
      <c r="S125" s="50"/>
      <c r="T125" s="50"/>
      <c r="U125" s="50"/>
      <c r="V125" s="50"/>
      <c r="W125" s="50"/>
      <c r="X125" s="50"/>
      <c r="Y125" s="50"/>
      <c r="Z125" s="50"/>
      <c r="AA125" s="50"/>
      <c r="AB125" s="50"/>
      <c r="AC125" s="50"/>
      <c r="AD125" s="50"/>
      <c r="AE125" s="50"/>
      <c r="AF125" s="50"/>
      <c r="AG125" s="50"/>
      <c r="AH125" s="50"/>
      <c r="AI125" s="50"/>
      <c r="AJ125" s="50"/>
      <c r="AK125" s="50"/>
      <c r="AL125" s="50"/>
      <c r="AM125" s="50"/>
      <c r="AN125" s="50"/>
    </row>
    <row r="126" spans="1:40">
      <c r="A126" s="50"/>
      <c r="B126" s="50"/>
      <c r="C126" s="50"/>
      <c r="D126" s="50"/>
      <c r="E126" s="50"/>
      <c r="F126" s="50"/>
      <c r="G126" s="50"/>
      <c r="H126" s="50"/>
      <c r="I126" s="50"/>
      <c r="J126" s="50"/>
      <c r="K126" s="50"/>
      <c r="L126" s="50"/>
      <c r="M126" s="50"/>
      <c r="N126" s="50"/>
      <c r="O126" s="50"/>
      <c r="P126" s="50"/>
      <c r="Q126" s="50"/>
      <c r="R126" s="50"/>
      <c r="S126" s="50"/>
      <c r="T126" s="50"/>
      <c r="U126" s="50"/>
      <c r="V126" s="50"/>
      <c r="W126" s="50"/>
      <c r="X126" s="50"/>
      <c r="Y126" s="50"/>
      <c r="Z126" s="50"/>
      <c r="AA126" s="50"/>
      <c r="AB126" s="50"/>
      <c r="AC126" s="50"/>
      <c r="AD126" s="50"/>
      <c r="AE126" s="50"/>
      <c r="AF126" s="50"/>
      <c r="AG126" s="50"/>
      <c r="AH126" s="50"/>
      <c r="AI126" s="50"/>
      <c r="AJ126" s="50"/>
      <c r="AK126" s="50"/>
      <c r="AL126" s="50"/>
      <c r="AM126" s="50"/>
      <c r="AN126" s="50"/>
    </row>
    <row r="127" spans="1:40">
      <c r="A127" s="50"/>
      <c r="B127" s="50"/>
      <c r="C127" s="50"/>
      <c r="D127" s="50"/>
      <c r="E127" s="50"/>
      <c r="F127" s="50"/>
      <c r="G127" s="50"/>
      <c r="H127" s="50"/>
      <c r="I127" s="50"/>
      <c r="J127" s="50"/>
      <c r="K127" s="50"/>
      <c r="L127" s="50"/>
      <c r="M127" s="50"/>
      <c r="N127" s="50"/>
      <c r="O127" s="50"/>
      <c r="P127" s="50"/>
      <c r="Q127" s="50"/>
      <c r="R127" s="50"/>
      <c r="S127" s="50"/>
      <c r="T127" s="50"/>
      <c r="U127" s="50"/>
      <c r="V127" s="50"/>
      <c r="W127" s="50"/>
      <c r="X127" s="50"/>
      <c r="Y127" s="50"/>
      <c r="Z127" s="50"/>
      <c r="AA127" s="50"/>
      <c r="AB127" s="50"/>
      <c r="AC127" s="50"/>
      <c r="AD127" s="50"/>
      <c r="AE127" s="50"/>
      <c r="AF127" s="50"/>
      <c r="AG127" s="50"/>
      <c r="AH127" s="50"/>
      <c r="AI127" s="50"/>
      <c r="AJ127" s="50"/>
      <c r="AK127" s="50"/>
      <c r="AL127" s="50"/>
      <c r="AM127" s="50"/>
      <c r="AN127" s="50"/>
    </row>
    <row r="128" spans="1:40">
      <c r="A128" s="50"/>
      <c r="B128" s="50"/>
      <c r="C128" s="50"/>
      <c r="D128" s="50"/>
      <c r="E128" s="50"/>
      <c r="F128" s="50"/>
      <c r="G128" s="50"/>
      <c r="H128" s="50"/>
      <c r="I128" s="50"/>
      <c r="J128" s="50"/>
      <c r="K128" s="50"/>
      <c r="L128" s="50"/>
      <c r="M128" s="50"/>
      <c r="N128" s="50"/>
      <c r="O128" s="50"/>
      <c r="P128" s="50"/>
      <c r="Q128" s="50"/>
      <c r="R128" s="50"/>
      <c r="S128" s="50"/>
      <c r="T128" s="50"/>
      <c r="U128" s="50"/>
      <c r="V128" s="50"/>
      <c r="W128" s="50"/>
      <c r="X128" s="50"/>
      <c r="Y128" s="50"/>
      <c r="Z128" s="50"/>
      <c r="AA128" s="50"/>
      <c r="AB128" s="50"/>
      <c r="AC128" s="50"/>
      <c r="AD128" s="50"/>
      <c r="AE128" s="50"/>
      <c r="AF128" s="50"/>
      <c r="AG128" s="50"/>
      <c r="AH128" s="50"/>
      <c r="AI128" s="50"/>
      <c r="AJ128" s="50"/>
      <c r="AK128" s="50"/>
      <c r="AL128" s="50"/>
      <c r="AM128" s="50"/>
      <c r="AN128" s="50"/>
    </row>
    <row r="129" spans="1:40">
      <c r="A129" s="50"/>
      <c r="B129" s="50"/>
      <c r="C129" s="50"/>
      <c r="D129" s="50"/>
      <c r="E129" s="50"/>
      <c r="F129" s="50"/>
      <c r="G129" s="50"/>
      <c r="H129" s="50"/>
      <c r="I129" s="50"/>
      <c r="J129" s="50"/>
      <c r="K129" s="50"/>
      <c r="L129" s="50"/>
      <c r="M129" s="50"/>
      <c r="N129" s="50"/>
      <c r="O129" s="50"/>
      <c r="P129" s="50"/>
      <c r="Q129" s="50"/>
      <c r="R129" s="50"/>
      <c r="S129" s="50"/>
      <c r="T129" s="50"/>
      <c r="U129" s="50"/>
      <c r="V129" s="50"/>
      <c r="W129" s="50"/>
      <c r="X129" s="50"/>
      <c r="Y129" s="50"/>
      <c r="Z129" s="50"/>
      <c r="AA129" s="50"/>
      <c r="AB129" s="50"/>
      <c r="AC129" s="50"/>
      <c r="AD129" s="50"/>
      <c r="AE129" s="50"/>
      <c r="AF129" s="50"/>
      <c r="AG129" s="50"/>
      <c r="AH129" s="50"/>
      <c r="AI129" s="50"/>
      <c r="AJ129" s="50"/>
      <c r="AK129" s="50"/>
      <c r="AL129" s="50"/>
      <c r="AM129" s="50"/>
      <c r="AN129" s="50"/>
    </row>
    <row r="130" spans="1:40">
      <c r="A130" s="50"/>
      <c r="B130" s="50"/>
      <c r="C130" s="50"/>
      <c r="D130" s="50"/>
      <c r="E130" s="50"/>
      <c r="F130" s="50"/>
      <c r="G130" s="50"/>
      <c r="H130" s="50"/>
      <c r="I130" s="50"/>
      <c r="J130" s="50"/>
      <c r="K130" s="50"/>
      <c r="L130" s="50"/>
      <c r="M130" s="50"/>
      <c r="N130" s="50"/>
      <c r="O130" s="50"/>
      <c r="P130" s="50"/>
      <c r="Q130" s="50"/>
      <c r="R130" s="50"/>
      <c r="S130" s="50"/>
      <c r="T130" s="50"/>
      <c r="U130" s="50"/>
      <c r="V130" s="50"/>
      <c r="W130" s="50"/>
      <c r="X130" s="50"/>
      <c r="Y130" s="50"/>
      <c r="Z130" s="50"/>
      <c r="AA130" s="50"/>
      <c r="AB130" s="50"/>
      <c r="AC130" s="50"/>
      <c r="AD130" s="50"/>
      <c r="AE130" s="50"/>
      <c r="AF130" s="50"/>
      <c r="AG130" s="50"/>
      <c r="AH130" s="50"/>
      <c r="AI130" s="50"/>
      <c r="AJ130" s="50"/>
      <c r="AK130" s="50"/>
      <c r="AL130" s="50"/>
      <c r="AM130" s="50"/>
      <c r="AN130" s="50"/>
    </row>
    <row r="131" spans="1:40">
      <c r="A131" s="50"/>
      <c r="B131" s="50"/>
      <c r="C131" s="50"/>
      <c r="D131" s="50"/>
      <c r="E131" s="50"/>
      <c r="F131" s="50"/>
      <c r="G131" s="50"/>
      <c r="H131" s="50"/>
      <c r="I131" s="50"/>
      <c r="J131" s="50"/>
      <c r="K131" s="50"/>
      <c r="L131" s="50"/>
      <c r="M131" s="50"/>
      <c r="N131" s="50"/>
      <c r="O131" s="50"/>
      <c r="P131" s="50"/>
      <c r="Q131" s="50"/>
      <c r="R131" s="50"/>
      <c r="S131" s="50"/>
      <c r="T131" s="50"/>
      <c r="U131" s="50"/>
      <c r="V131" s="50"/>
      <c r="W131" s="50"/>
      <c r="X131" s="50"/>
      <c r="Y131" s="50"/>
      <c r="Z131" s="50"/>
      <c r="AA131" s="50"/>
      <c r="AB131" s="50"/>
      <c r="AC131" s="50"/>
      <c r="AD131" s="50"/>
      <c r="AE131" s="50"/>
      <c r="AF131" s="50"/>
      <c r="AG131" s="50"/>
      <c r="AH131" s="50"/>
      <c r="AI131" s="50"/>
      <c r="AJ131" s="50"/>
      <c r="AK131" s="50"/>
      <c r="AL131" s="50"/>
      <c r="AM131" s="50"/>
      <c r="AN131" s="50"/>
    </row>
    <row r="132" spans="1:40">
      <c r="A132" s="50"/>
      <c r="B132" s="50"/>
      <c r="C132" s="50"/>
      <c r="D132" s="50"/>
      <c r="E132" s="50"/>
      <c r="F132" s="50"/>
      <c r="G132" s="50"/>
      <c r="H132" s="50"/>
      <c r="I132" s="50"/>
      <c r="J132" s="50"/>
      <c r="K132" s="50"/>
      <c r="L132" s="50"/>
      <c r="M132" s="50"/>
      <c r="N132" s="50"/>
      <c r="O132" s="50"/>
      <c r="P132" s="50"/>
      <c r="Q132" s="50"/>
      <c r="R132" s="50"/>
      <c r="S132" s="50"/>
      <c r="T132" s="50"/>
      <c r="U132" s="50"/>
      <c r="V132" s="50"/>
      <c r="W132" s="50"/>
      <c r="X132" s="50"/>
      <c r="Y132" s="50"/>
      <c r="Z132" s="50"/>
      <c r="AA132" s="50"/>
      <c r="AB132" s="50"/>
      <c r="AC132" s="50"/>
      <c r="AD132" s="50"/>
      <c r="AE132" s="50"/>
      <c r="AF132" s="50"/>
      <c r="AG132" s="50"/>
      <c r="AH132" s="50"/>
      <c r="AI132" s="50"/>
      <c r="AJ132" s="50"/>
      <c r="AK132" s="50"/>
      <c r="AL132" s="50"/>
      <c r="AM132" s="50"/>
      <c r="AN132" s="50"/>
    </row>
    <row r="133" spans="1:40">
      <c r="A133" s="50"/>
      <c r="B133" s="50"/>
      <c r="C133" s="50"/>
      <c r="D133" s="50"/>
      <c r="E133" s="50"/>
      <c r="F133" s="50"/>
      <c r="G133" s="50"/>
      <c r="H133" s="50"/>
      <c r="I133" s="50"/>
      <c r="J133" s="50"/>
      <c r="K133" s="50"/>
      <c r="L133" s="50"/>
      <c r="M133" s="50"/>
      <c r="N133" s="50"/>
      <c r="O133" s="50"/>
      <c r="P133" s="50"/>
      <c r="Q133" s="50"/>
      <c r="R133" s="50"/>
      <c r="S133" s="50"/>
      <c r="T133" s="50"/>
      <c r="U133" s="50"/>
      <c r="V133" s="50"/>
      <c r="W133" s="50"/>
      <c r="X133" s="50"/>
      <c r="Y133" s="50"/>
      <c r="Z133" s="50"/>
      <c r="AA133" s="50"/>
      <c r="AB133" s="50"/>
      <c r="AC133" s="50"/>
      <c r="AD133" s="50"/>
      <c r="AE133" s="50"/>
      <c r="AF133" s="50"/>
      <c r="AG133" s="50"/>
      <c r="AH133" s="50"/>
      <c r="AI133" s="50"/>
      <c r="AJ133" s="50"/>
      <c r="AK133" s="50"/>
      <c r="AL133" s="50"/>
      <c r="AM133" s="50"/>
      <c r="AN133" s="50"/>
    </row>
    <row r="134" spans="1:40">
      <c r="A134" s="50"/>
      <c r="B134" s="50"/>
      <c r="C134" s="50"/>
      <c r="D134" s="50"/>
      <c r="E134" s="50"/>
      <c r="F134" s="50"/>
      <c r="G134" s="50"/>
      <c r="H134" s="50"/>
      <c r="I134" s="50"/>
      <c r="J134" s="50"/>
      <c r="K134" s="50"/>
      <c r="L134" s="50"/>
      <c r="M134" s="50"/>
      <c r="N134" s="50"/>
      <c r="O134" s="50"/>
      <c r="P134" s="50"/>
      <c r="Q134" s="50"/>
      <c r="R134" s="50"/>
      <c r="S134" s="50"/>
      <c r="T134" s="50"/>
      <c r="U134" s="50"/>
      <c r="V134" s="50"/>
      <c r="W134" s="50"/>
      <c r="X134" s="50"/>
      <c r="Y134" s="50"/>
      <c r="Z134" s="50"/>
      <c r="AA134" s="50"/>
      <c r="AB134" s="50"/>
      <c r="AC134" s="50"/>
      <c r="AD134" s="50"/>
      <c r="AE134" s="50"/>
      <c r="AF134" s="50"/>
      <c r="AG134" s="50"/>
      <c r="AH134" s="50"/>
      <c r="AI134" s="50"/>
      <c r="AJ134" s="50"/>
      <c r="AK134" s="50"/>
      <c r="AL134" s="50"/>
      <c r="AM134" s="50"/>
      <c r="AN134" s="50"/>
    </row>
    <row r="135" spans="1:40">
      <c r="A135" s="50"/>
      <c r="B135" s="50"/>
      <c r="C135" s="50"/>
      <c r="D135" s="50"/>
      <c r="E135" s="50"/>
      <c r="F135" s="50"/>
      <c r="G135" s="50"/>
      <c r="H135" s="50"/>
      <c r="I135" s="50"/>
      <c r="J135" s="50"/>
      <c r="K135" s="50"/>
      <c r="L135" s="50"/>
      <c r="M135" s="50"/>
      <c r="N135" s="50"/>
      <c r="O135" s="50"/>
      <c r="P135" s="50"/>
      <c r="Q135" s="50"/>
      <c r="R135" s="50"/>
      <c r="S135" s="50"/>
      <c r="T135" s="50"/>
      <c r="U135" s="50"/>
      <c r="V135" s="50"/>
      <c r="W135" s="50"/>
      <c r="X135" s="50"/>
      <c r="Y135" s="50"/>
      <c r="Z135" s="50"/>
      <c r="AA135" s="50"/>
      <c r="AB135" s="50"/>
      <c r="AC135" s="50"/>
      <c r="AD135" s="50"/>
      <c r="AE135" s="50"/>
      <c r="AF135" s="50"/>
      <c r="AG135" s="50"/>
      <c r="AH135" s="50"/>
      <c r="AI135" s="50"/>
      <c r="AJ135" s="50"/>
      <c r="AK135" s="50"/>
      <c r="AL135" s="50"/>
      <c r="AM135" s="50"/>
      <c r="AN135" s="50"/>
    </row>
    <row r="136" spans="1:40">
      <c r="A136" s="50"/>
      <c r="B136" s="50"/>
      <c r="C136" s="50"/>
      <c r="D136" s="50"/>
      <c r="E136" s="50"/>
      <c r="F136" s="50"/>
      <c r="G136" s="50"/>
      <c r="H136" s="50"/>
      <c r="I136" s="50"/>
      <c r="J136" s="50"/>
      <c r="K136" s="50"/>
      <c r="L136" s="50"/>
      <c r="M136" s="50"/>
      <c r="N136" s="50"/>
      <c r="O136" s="50"/>
      <c r="P136" s="50"/>
      <c r="Q136" s="50"/>
      <c r="R136" s="50"/>
      <c r="S136" s="50"/>
      <c r="T136" s="50"/>
      <c r="U136" s="50"/>
      <c r="V136" s="50"/>
      <c r="W136" s="50"/>
      <c r="X136" s="50"/>
      <c r="Y136" s="50"/>
      <c r="Z136" s="50"/>
      <c r="AA136" s="50"/>
      <c r="AB136" s="50"/>
      <c r="AC136" s="50"/>
      <c r="AD136" s="50"/>
      <c r="AE136" s="50"/>
      <c r="AF136" s="50"/>
      <c r="AG136" s="50"/>
      <c r="AH136" s="50"/>
      <c r="AI136" s="50"/>
      <c r="AJ136" s="50"/>
      <c r="AK136" s="50"/>
      <c r="AL136" s="50"/>
      <c r="AM136" s="50"/>
      <c r="AN136" s="50"/>
    </row>
    <row r="137" spans="1:40">
      <c r="A137" s="50"/>
      <c r="B137" s="50"/>
      <c r="C137" s="50"/>
      <c r="D137" s="50"/>
      <c r="E137" s="50"/>
      <c r="F137" s="50"/>
      <c r="G137" s="50"/>
      <c r="H137" s="50"/>
      <c r="I137" s="50"/>
      <c r="J137" s="50"/>
      <c r="K137" s="50"/>
      <c r="L137" s="50"/>
      <c r="M137" s="50"/>
      <c r="N137" s="50"/>
      <c r="O137" s="50"/>
      <c r="P137" s="50"/>
      <c r="Q137" s="50"/>
      <c r="R137" s="50"/>
      <c r="S137" s="50"/>
      <c r="T137" s="50"/>
      <c r="U137" s="50"/>
      <c r="V137" s="50"/>
      <c r="W137" s="50"/>
      <c r="X137" s="50"/>
      <c r="Y137" s="50"/>
      <c r="Z137" s="50"/>
      <c r="AA137" s="50"/>
      <c r="AB137" s="50"/>
      <c r="AC137" s="50"/>
      <c r="AD137" s="50"/>
      <c r="AE137" s="50"/>
      <c r="AF137" s="50"/>
      <c r="AG137" s="50"/>
      <c r="AH137" s="50"/>
      <c r="AI137" s="50"/>
      <c r="AJ137" s="50"/>
      <c r="AK137" s="50"/>
      <c r="AL137" s="50"/>
      <c r="AM137" s="50"/>
      <c r="AN137" s="50"/>
    </row>
    <row r="138" spans="1:40">
      <c r="A138" s="50"/>
      <c r="B138" s="50"/>
      <c r="C138" s="50"/>
      <c r="D138" s="50"/>
      <c r="E138" s="50"/>
      <c r="F138" s="50"/>
      <c r="G138" s="50"/>
      <c r="H138" s="50"/>
      <c r="I138" s="50"/>
      <c r="J138" s="50"/>
      <c r="K138" s="50"/>
      <c r="L138" s="50"/>
      <c r="M138" s="50"/>
      <c r="N138" s="50"/>
      <c r="O138" s="50"/>
      <c r="P138" s="50"/>
      <c r="Q138" s="50"/>
      <c r="R138" s="50"/>
      <c r="S138" s="50"/>
      <c r="T138" s="50"/>
      <c r="U138" s="50"/>
      <c r="V138" s="50"/>
      <c r="W138" s="50"/>
      <c r="X138" s="50"/>
      <c r="Y138" s="50"/>
      <c r="Z138" s="50"/>
      <c r="AA138" s="50"/>
      <c r="AB138" s="50"/>
      <c r="AC138" s="50"/>
      <c r="AD138" s="50"/>
      <c r="AE138" s="50"/>
      <c r="AF138" s="50"/>
      <c r="AG138" s="50"/>
      <c r="AH138" s="50"/>
      <c r="AI138" s="50"/>
      <c r="AJ138" s="50"/>
      <c r="AK138" s="50"/>
      <c r="AL138" s="50"/>
      <c r="AM138" s="50"/>
      <c r="AN138" s="50"/>
    </row>
    <row r="139" spans="1:40">
      <c r="A139" s="50"/>
      <c r="B139" s="50"/>
      <c r="C139" s="50"/>
      <c r="D139" s="50"/>
      <c r="E139" s="50"/>
      <c r="F139" s="50"/>
      <c r="G139" s="50"/>
      <c r="H139" s="50"/>
      <c r="I139" s="50"/>
      <c r="J139" s="50"/>
      <c r="K139" s="50"/>
      <c r="L139" s="50"/>
      <c r="M139" s="50"/>
      <c r="N139" s="50"/>
      <c r="O139" s="50"/>
      <c r="P139" s="50"/>
      <c r="Q139" s="50"/>
      <c r="R139" s="50"/>
      <c r="S139" s="50"/>
      <c r="T139" s="50"/>
      <c r="U139" s="50"/>
      <c r="V139" s="50"/>
      <c r="W139" s="50"/>
      <c r="X139" s="50"/>
      <c r="Y139" s="50"/>
      <c r="Z139" s="50"/>
      <c r="AA139" s="50"/>
      <c r="AB139" s="50"/>
      <c r="AC139" s="50"/>
      <c r="AD139" s="50"/>
      <c r="AE139" s="50"/>
      <c r="AF139" s="50"/>
      <c r="AG139" s="50"/>
      <c r="AH139" s="50"/>
      <c r="AI139" s="50"/>
      <c r="AJ139" s="50"/>
      <c r="AK139" s="50"/>
      <c r="AL139" s="50"/>
      <c r="AM139" s="50"/>
      <c r="AN139" s="50"/>
    </row>
    <row r="140" spans="1:40">
      <c r="A140" s="50"/>
      <c r="B140" s="50"/>
      <c r="C140" s="50"/>
      <c r="D140" s="50"/>
      <c r="E140" s="50"/>
      <c r="F140" s="50"/>
      <c r="G140" s="50"/>
      <c r="H140" s="50"/>
      <c r="I140" s="50"/>
      <c r="J140" s="50"/>
      <c r="K140" s="50"/>
      <c r="L140" s="50"/>
      <c r="M140" s="50"/>
      <c r="N140" s="50"/>
      <c r="O140" s="50"/>
      <c r="P140" s="50"/>
      <c r="Q140" s="50"/>
      <c r="R140" s="50"/>
      <c r="S140" s="50"/>
      <c r="T140" s="50"/>
      <c r="U140" s="50"/>
      <c r="V140" s="50"/>
      <c r="W140" s="50"/>
      <c r="X140" s="50"/>
      <c r="Y140" s="50"/>
      <c r="Z140" s="50"/>
      <c r="AA140" s="50"/>
      <c r="AB140" s="50"/>
      <c r="AC140" s="50"/>
      <c r="AD140" s="50"/>
      <c r="AE140" s="50"/>
      <c r="AF140" s="50"/>
      <c r="AG140" s="50"/>
      <c r="AH140" s="50"/>
      <c r="AI140" s="50"/>
      <c r="AJ140" s="50"/>
      <c r="AK140" s="50"/>
      <c r="AL140" s="50"/>
      <c r="AM140" s="50"/>
      <c r="AN140" s="50"/>
    </row>
    <row r="141" spans="1:40">
      <c r="A141" s="50"/>
      <c r="B141" s="50"/>
      <c r="C141" s="50"/>
      <c r="D141" s="50"/>
      <c r="E141" s="50"/>
      <c r="F141" s="50"/>
      <c r="G141" s="50"/>
      <c r="H141" s="50"/>
      <c r="I141" s="50"/>
      <c r="J141" s="50"/>
      <c r="K141" s="50"/>
      <c r="L141" s="50"/>
      <c r="M141" s="50"/>
      <c r="N141" s="50"/>
      <c r="O141" s="50"/>
      <c r="P141" s="50"/>
      <c r="Q141" s="50"/>
      <c r="R141" s="50"/>
      <c r="S141" s="50"/>
      <c r="T141" s="50"/>
      <c r="U141" s="50"/>
      <c r="V141" s="50"/>
      <c r="W141" s="50"/>
      <c r="X141" s="50"/>
      <c r="Y141" s="50"/>
      <c r="Z141" s="50"/>
      <c r="AA141" s="50"/>
      <c r="AB141" s="50"/>
      <c r="AC141" s="50"/>
      <c r="AD141" s="50"/>
      <c r="AE141" s="50"/>
      <c r="AF141" s="50"/>
      <c r="AG141" s="50"/>
      <c r="AH141" s="50"/>
      <c r="AI141" s="50"/>
      <c r="AJ141" s="50"/>
      <c r="AK141" s="50"/>
      <c r="AL141" s="50"/>
      <c r="AM141" s="50"/>
      <c r="AN141" s="50"/>
    </row>
    <row r="142" spans="1:40">
      <c r="A142" s="50"/>
      <c r="B142" s="50"/>
      <c r="C142" s="50"/>
      <c r="D142" s="50"/>
      <c r="E142" s="50"/>
      <c r="F142" s="50"/>
      <c r="G142" s="50"/>
      <c r="H142" s="50"/>
      <c r="I142" s="50"/>
      <c r="J142" s="50"/>
      <c r="K142" s="50"/>
      <c r="L142" s="50"/>
      <c r="M142" s="50"/>
      <c r="N142" s="50"/>
      <c r="O142" s="50"/>
      <c r="P142" s="50"/>
      <c r="Q142" s="50"/>
      <c r="R142" s="50"/>
      <c r="S142" s="50"/>
      <c r="T142" s="50"/>
      <c r="U142" s="50"/>
      <c r="V142" s="50"/>
      <c r="W142" s="50"/>
      <c r="X142" s="50"/>
      <c r="Y142" s="50"/>
      <c r="Z142" s="50"/>
      <c r="AA142" s="50"/>
      <c r="AB142" s="50"/>
      <c r="AC142" s="50"/>
      <c r="AD142" s="50"/>
      <c r="AE142" s="50"/>
      <c r="AF142" s="50"/>
      <c r="AG142" s="50"/>
      <c r="AH142" s="50"/>
      <c r="AI142" s="50"/>
      <c r="AJ142" s="50"/>
      <c r="AK142" s="50"/>
      <c r="AL142" s="50"/>
      <c r="AM142" s="50"/>
      <c r="AN142" s="50"/>
    </row>
    <row r="143" spans="1:40">
      <c r="A143" s="50"/>
      <c r="B143" s="50"/>
      <c r="C143" s="50"/>
      <c r="D143" s="50"/>
      <c r="E143" s="50"/>
      <c r="F143" s="50"/>
      <c r="G143" s="50"/>
      <c r="H143" s="50"/>
      <c r="I143" s="50"/>
      <c r="J143" s="50"/>
      <c r="K143" s="50"/>
      <c r="L143" s="50"/>
      <c r="M143" s="50"/>
      <c r="N143" s="50"/>
      <c r="O143" s="50"/>
      <c r="P143" s="50"/>
      <c r="Q143" s="50"/>
      <c r="R143" s="50"/>
      <c r="S143" s="50"/>
      <c r="T143" s="50"/>
      <c r="U143" s="50"/>
      <c r="V143" s="50"/>
      <c r="W143" s="50"/>
      <c r="X143" s="50"/>
      <c r="Y143" s="50"/>
      <c r="Z143" s="50"/>
      <c r="AA143" s="50"/>
      <c r="AB143" s="50"/>
      <c r="AC143" s="50"/>
      <c r="AD143" s="50"/>
      <c r="AE143" s="50"/>
      <c r="AF143" s="50"/>
      <c r="AG143" s="50"/>
      <c r="AH143" s="50"/>
      <c r="AI143" s="50"/>
      <c r="AJ143" s="50"/>
      <c r="AK143" s="50"/>
      <c r="AL143" s="50"/>
      <c r="AM143" s="50"/>
      <c r="AN143" s="50"/>
    </row>
    <row r="144" spans="1:40">
      <c r="A144" s="50"/>
      <c r="B144" s="50"/>
      <c r="C144" s="50"/>
      <c r="D144" s="50"/>
      <c r="E144" s="50"/>
      <c r="F144" s="50"/>
      <c r="G144" s="50"/>
      <c r="H144" s="50"/>
      <c r="I144" s="50"/>
      <c r="J144" s="50"/>
      <c r="K144" s="50"/>
      <c r="L144" s="50"/>
      <c r="M144" s="50"/>
      <c r="N144" s="50"/>
      <c r="O144" s="50"/>
      <c r="P144" s="50"/>
      <c r="Q144" s="50"/>
      <c r="R144" s="50"/>
      <c r="S144" s="50"/>
      <c r="T144" s="50"/>
      <c r="U144" s="50"/>
      <c r="V144" s="50"/>
      <c r="W144" s="50"/>
      <c r="X144" s="50"/>
      <c r="Y144" s="50"/>
      <c r="Z144" s="50"/>
      <c r="AA144" s="50"/>
      <c r="AB144" s="50"/>
      <c r="AC144" s="50"/>
      <c r="AD144" s="50"/>
      <c r="AE144" s="50"/>
      <c r="AF144" s="50"/>
      <c r="AG144" s="50"/>
      <c r="AH144" s="50"/>
      <c r="AI144" s="50"/>
      <c r="AJ144" s="50"/>
      <c r="AK144" s="50"/>
      <c r="AL144" s="50"/>
      <c r="AM144" s="50"/>
      <c r="AN144" s="50"/>
    </row>
    <row r="145" spans="1:40">
      <c r="A145" s="50"/>
      <c r="B145" s="50"/>
      <c r="C145" s="50"/>
      <c r="D145" s="50"/>
      <c r="E145" s="50"/>
      <c r="F145" s="50"/>
      <c r="G145" s="50"/>
      <c r="H145" s="50"/>
      <c r="I145" s="50"/>
      <c r="J145" s="50"/>
      <c r="K145" s="50"/>
      <c r="L145" s="50"/>
      <c r="M145" s="50"/>
      <c r="N145" s="50"/>
      <c r="O145" s="50"/>
      <c r="P145" s="50"/>
      <c r="Q145" s="50"/>
      <c r="R145" s="50"/>
      <c r="S145" s="50"/>
      <c r="T145" s="50"/>
      <c r="U145" s="50"/>
      <c r="V145" s="50"/>
      <c r="W145" s="50"/>
      <c r="X145" s="50"/>
      <c r="Y145" s="50"/>
      <c r="Z145" s="50"/>
      <c r="AA145" s="50"/>
      <c r="AB145" s="50"/>
      <c r="AC145" s="50"/>
      <c r="AD145" s="50"/>
      <c r="AE145" s="50"/>
      <c r="AF145" s="50"/>
      <c r="AG145" s="50"/>
      <c r="AH145" s="50"/>
      <c r="AI145" s="50"/>
      <c r="AJ145" s="50"/>
      <c r="AK145" s="50"/>
      <c r="AL145" s="50"/>
      <c r="AM145" s="50"/>
      <c r="AN145" s="50"/>
    </row>
    <row r="146" spans="1:40">
      <c r="A146" s="50"/>
      <c r="B146" s="50"/>
      <c r="C146" s="50"/>
      <c r="D146" s="50"/>
      <c r="E146" s="50"/>
      <c r="F146" s="50"/>
      <c r="G146" s="50"/>
      <c r="H146" s="50"/>
      <c r="I146" s="50"/>
      <c r="J146" s="50"/>
      <c r="K146" s="50"/>
      <c r="L146" s="50"/>
      <c r="M146" s="50"/>
      <c r="N146" s="50"/>
      <c r="O146" s="50"/>
      <c r="P146" s="50"/>
      <c r="Q146" s="50"/>
      <c r="R146" s="50"/>
      <c r="S146" s="50"/>
      <c r="T146" s="50"/>
      <c r="U146" s="50"/>
      <c r="V146" s="50"/>
      <c r="W146" s="50"/>
      <c r="X146" s="50"/>
      <c r="Y146" s="50"/>
      <c r="Z146" s="50"/>
      <c r="AA146" s="50"/>
      <c r="AB146" s="50"/>
      <c r="AC146" s="50"/>
      <c r="AD146" s="50"/>
      <c r="AE146" s="50"/>
      <c r="AF146" s="50"/>
      <c r="AG146" s="50"/>
      <c r="AH146" s="50"/>
      <c r="AI146" s="50"/>
      <c r="AJ146" s="50"/>
      <c r="AK146" s="50"/>
      <c r="AL146" s="50"/>
      <c r="AM146" s="50"/>
      <c r="AN146" s="50"/>
    </row>
    <row r="147" spans="1:40">
      <c r="A147" s="50"/>
      <c r="B147" s="50"/>
      <c r="C147" s="50"/>
      <c r="D147" s="50"/>
      <c r="E147" s="50"/>
      <c r="F147" s="50"/>
      <c r="G147" s="50"/>
      <c r="H147" s="50"/>
      <c r="I147" s="50"/>
      <c r="J147" s="50"/>
      <c r="K147" s="50"/>
      <c r="L147" s="50"/>
      <c r="M147" s="50"/>
      <c r="N147" s="50"/>
      <c r="O147" s="50"/>
      <c r="P147" s="50"/>
      <c r="Q147" s="50"/>
      <c r="R147" s="50"/>
      <c r="S147" s="50"/>
      <c r="T147" s="50"/>
      <c r="U147" s="50"/>
      <c r="V147" s="50"/>
      <c r="W147" s="50"/>
      <c r="X147" s="50"/>
      <c r="Y147" s="50"/>
      <c r="Z147" s="50"/>
      <c r="AA147" s="50"/>
      <c r="AB147" s="50"/>
      <c r="AC147" s="50"/>
      <c r="AD147" s="50"/>
      <c r="AE147" s="50"/>
      <c r="AF147" s="50"/>
      <c r="AG147" s="50"/>
      <c r="AH147" s="50"/>
      <c r="AI147" s="50"/>
      <c r="AJ147" s="50"/>
      <c r="AK147" s="50"/>
      <c r="AL147" s="50"/>
      <c r="AM147" s="50"/>
      <c r="AN147" s="50"/>
    </row>
    <row r="148" spans="1:40">
      <c r="A148" s="50"/>
      <c r="B148" s="50"/>
      <c r="C148" s="50"/>
      <c r="D148" s="50"/>
      <c r="E148" s="50"/>
      <c r="F148" s="50"/>
      <c r="G148" s="50"/>
      <c r="H148" s="50"/>
      <c r="I148" s="50"/>
      <c r="J148" s="50"/>
      <c r="K148" s="50"/>
      <c r="L148" s="50"/>
      <c r="M148" s="50"/>
      <c r="N148" s="50"/>
      <c r="O148" s="50"/>
      <c r="P148" s="50"/>
      <c r="Q148" s="50"/>
      <c r="R148" s="50"/>
      <c r="S148" s="50"/>
      <c r="T148" s="50"/>
      <c r="U148" s="50"/>
      <c r="V148" s="50"/>
      <c r="W148" s="50"/>
      <c r="X148" s="50"/>
      <c r="Y148" s="50"/>
      <c r="Z148" s="50"/>
      <c r="AA148" s="50"/>
      <c r="AB148" s="50"/>
      <c r="AC148" s="50"/>
      <c r="AD148" s="50"/>
      <c r="AE148" s="50"/>
      <c r="AF148" s="50"/>
      <c r="AG148" s="50"/>
      <c r="AH148" s="50"/>
      <c r="AI148" s="50"/>
      <c r="AJ148" s="50"/>
      <c r="AK148" s="50"/>
      <c r="AL148" s="50"/>
      <c r="AM148" s="50"/>
      <c r="AN148" s="50"/>
    </row>
    <row r="149" spans="1:40">
      <c r="A149" s="50"/>
      <c r="B149" s="50"/>
      <c r="C149" s="50"/>
      <c r="D149" s="50"/>
      <c r="E149" s="50"/>
      <c r="F149" s="50"/>
      <c r="G149" s="50"/>
      <c r="H149" s="50"/>
      <c r="I149" s="50"/>
      <c r="J149" s="50"/>
      <c r="K149" s="50"/>
      <c r="L149" s="50"/>
      <c r="M149" s="50"/>
      <c r="N149" s="50"/>
      <c r="O149" s="50"/>
      <c r="P149" s="50"/>
      <c r="Q149" s="50"/>
      <c r="R149" s="50"/>
      <c r="S149" s="50"/>
      <c r="T149" s="50"/>
      <c r="U149" s="50"/>
      <c r="V149" s="50"/>
      <c r="W149" s="50"/>
      <c r="X149" s="50"/>
      <c r="Y149" s="50"/>
      <c r="Z149" s="50"/>
      <c r="AA149" s="50"/>
      <c r="AB149" s="50"/>
      <c r="AC149" s="50"/>
      <c r="AD149" s="50"/>
      <c r="AE149" s="50"/>
      <c r="AF149" s="50"/>
      <c r="AG149" s="50"/>
      <c r="AH149" s="50"/>
      <c r="AI149" s="50"/>
      <c r="AJ149" s="50"/>
      <c r="AK149" s="50"/>
      <c r="AL149" s="50"/>
      <c r="AM149" s="50"/>
      <c r="AN149" s="50"/>
    </row>
    <row r="150" spans="1:40">
      <c r="A150" s="50"/>
      <c r="B150" s="50"/>
      <c r="C150" s="50"/>
      <c r="D150" s="50"/>
      <c r="E150" s="50"/>
      <c r="F150" s="50"/>
      <c r="G150" s="50"/>
      <c r="H150" s="50"/>
      <c r="I150" s="50"/>
      <c r="J150" s="50"/>
      <c r="K150" s="50"/>
      <c r="L150" s="50"/>
      <c r="M150" s="50"/>
      <c r="N150" s="50"/>
      <c r="O150" s="50"/>
      <c r="P150" s="50"/>
      <c r="Q150" s="50"/>
      <c r="R150" s="50"/>
      <c r="S150" s="50"/>
      <c r="T150" s="50"/>
      <c r="U150" s="50"/>
      <c r="V150" s="50"/>
      <c r="W150" s="50"/>
      <c r="X150" s="50"/>
      <c r="Y150" s="50"/>
      <c r="Z150" s="50"/>
      <c r="AA150" s="50"/>
      <c r="AB150" s="50"/>
      <c r="AC150" s="50"/>
      <c r="AD150" s="50"/>
      <c r="AE150" s="50"/>
      <c r="AF150" s="50"/>
      <c r="AG150" s="50"/>
      <c r="AH150" s="50"/>
      <c r="AI150" s="50"/>
      <c r="AJ150" s="50"/>
      <c r="AK150" s="50"/>
      <c r="AL150" s="50"/>
      <c r="AM150" s="50"/>
      <c r="AN150" s="50"/>
    </row>
    <row r="151" spans="1:40">
      <c r="A151" s="50"/>
      <c r="B151" s="50"/>
      <c r="C151" s="50"/>
      <c r="D151" s="50"/>
      <c r="E151" s="50"/>
      <c r="F151" s="50"/>
      <c r="G151" s="50"/>
      <c r="H151" s="50"/>
      <c r="I151" s="50"/>
      <c r="J151" s="50"/>
      <c r="K151" s="50"/>
      <c r="L151" s="50"/>
      <c r="M151" s="50"/>
      <c r="N151" s="50"/>
      <c r="O151" s="50"/>
      <c r="P151" s="50"/>
      <c r="Q151" s="50"/>
      <c r="R151" s="50"/>
      <c r="S151" s="50"/>
      <c r="T151" s="50"/>
      <c r="U151" s="50"/>
      <c r="V151" s="50"/>
      <c r="W151" s="50"/>
      <c r="X151" s="50"/>
      <c r="Y151" s="50"/>
      <c r="Z151" s="50"/>
      <c r="AA151" s="50"/>
      <c r="AB151" s="50"/>
      <c r="AC151" s="50"/>
      <c r="AD151" s="50"/>
      <c r="AE151" s="50"/>
      <c r="AF151" s="50"/>
      <c r="AG151" s="50"/>
      <c r="AH151" s="50"/>
      <c r="AI151" s="50"/>
      <c r="AJ151" s="50"/>
      <c r="AK151" s="50"/>
      <c r="AL151" s="50"/>
      <c r="AM151" s="50"/>
      <c r="AN151" s="50"/>
    </row>
    <row r="152" spans="1:40">
      <c r="A152" s="50"/>
      <c r="B152" s="50"/>
      <c r="C152" s="50"/>
      <c r="D152" s="50"/>
      <c r="E152" s="50"/>
      <c r="F152" s="50"/>
      <c r="G152" s="50"/>
      <c r="H152" s="50"/>
      <c r="I152" s="50"/>
      <c r="J152" s="50"/>
      <c r="K152" s="50"/>
      <c r="L152" s="50"/>
      <c r="M152" s="50"/>
      <c r="N152" s="50"/>
      <c r="O152" s="50"/>
      <c r="P152" s="50"/>
      <c r="Q152" s="50"/>
      <c r="R152" s="50"/>
      <c r="S152" s="50"/>
      <c r="T152" s="50"/>
      <c r="U152" s="50"/>
      <c r="V152" s="50"/>
      <c r="W152" s="50"/>
      <c r="X152" s="50"/>
      <c r="Y152" s="50"/>
      <c r="Z152" s="50"/>
      <c r="AA152" s="50"/>
      <c r="AB152" s="50"/>
      <c r="AC152" s="50"/>
      <c r="AD152" s="50"/>
      <c r="AE152" s="50"/>
      <c r="AF152" s="50"/>
      <c r="AG152" s="50"/>
      <c r="AH152" s="50"/>
      <c r="AI152" s="50"/>
      <c r="AJ152" s="50"/>
      <c r="AK152" s="50"/>
      <c r="AL152" s="50"/>
      <c r="AM152" s="50"/>
      <c r="AN152" s="50"/>
    </row>
    <row r="153" spans="1:40">
      <c r="A153" s="50"/>
      <c r="B153" s="50"/>
      <c r="C153" s="50"/>
      <c r="D153" s="50"/>
      <c r="E153" s="50"/>
      <c r="F153" s="50"/>
      <c r="G153" s="50"/>
      <c r="H153" s="50"/>
      <c r="I153" s="50"/>
      <c r="J153" s="50"/>
      <c r="K153" s="50"/>
      <c r="L153" s="50"/>
      <c r="M153" s="50"/>
      <c r="N153" s="50"/>
      <c r="O153" s="50"/>
      <c r="P153" s="50"/>
      <c r="Q153" s="50"/>
      <c r="R153" s="50"/>
      <c r="S153" s="50"/>
      <c r="T153" s="50"/>
      <c r="U153" s="50"/>
      <c r="V153" s="50"/>
      <c r="W153" s="50"/>
      <c r="X153" s="50"/>
      <c r="Y153" s="50"/>
      <c r="Z153" s="50"/>
      <c r="AA153" s="50"/>
      <c r="AB153" s="50"/>
      <c r="AC153" s="50"/>
      <c r="AD153" s="50"/>
      <c r="AE153" s="50"/>
      <c r="AF153" s="50"/>
      <c r="AG153" s="50"/>
      <c r="AH153" s="50"/>
      <c r="AI153" s="50"/>
      <c r="AJ153" s="50"/>
      <c r="AK153" s="50"/>
      <c r="AL153" s="50"/>
      <c r="AM153" s="50"/>
      <c r="AN153" s="50"/>
    </row>
    <row r="154" spans="1:40">
      <c r="A154" s="50"/>
      <c r="B154" s="50"/>
      <c r="C154" s="50"/>
      <c r="D154" s="50"/>
      <c r="E154" s="50"/>
      <c r="F154" s="50"/>
      <c r="G154" s="50"/>
      <c r="H154" s="50"/>
      <c r="I154" s="50"/>
      <c r="J154" s="50"/>
      <c r="K154" s="50"/>
      <c r="L154" s="50"/>
      <c r="M154" s="50"/>
      <c r="N154" s="50"/>
      <c r="O154" s="50"/>
      <c r="P154" s="50"/>
      <c r="Q154" s="50"/>
      <c r="R154" s="50"/>
      <c r="S154" s="50"/>
      <c r="T154" s="50"/>
      <c r="U154" s="50"/>
      <c r="V154" s="50"/>
      <c r="W154" s="50"/>
      <c r="X154" s="50"/>
      <c r="Y154" s="50"/>
      <c r="Z154" s="50"/>
      <c r="AA154" s="50"/>
      <c r="AB154" s="50"/>
      <c r="AC154" s="50"/>
      <c r="AD154" s="50"/>
      <c r="AE154" s="50"/>
      <c r="AF154" s="50"/>
      <c r="AG154" s="50"/>
      <c r="AH154" s="50"/>
      <c r="AI154" s="50"/>
      <c r="AJ154" s="50"/>
      <c r="AK154" s="50"/>
      <c r="AL154" s="50"/>
      <c r="AM154" s="50"/>
      <c r="AN154" s="50"/>
    </row>
    <row r="155" spans="1:40">
      <c r="A155" s="50"/>
      <c r="B155" s="50"/>
      <c r="C155" s="50"/>
      <c r="D155" s="50"/>
      <c r="E155" s="50"/>
      <c r="F155" s="50"/>
      <c r="G155" s="50"/>
      <c r="H155" s="50"/>
      <c r="I155" s="50"/>
      <c r="J155" s="50"/>
      <c r="K155" s="50"/>
      <c r="L155" s="50"/>
      <c r="M155" s="50"/>
      <c r="N155" s="50"/>
      <c r="O155" s="50"/>
      <c r="P155" s="50"/>
      <c r="Q155" s="50"/>
      <c r="R155" s="50"/>
      <c r="S155" s="50"/>
      <c r="T155" s="50"/>
      <c r="U155" s="50"/>
      <c r="V155" s="50"/>
      <c r="W155" s="50"/>
      <c r="X155" s="50"/>
      <c r="Y155" s="50"/>
      <c r="Z155" s="50"/>
      <c r="AA155" s="50"/>
      <c r="AB155" s="50"/>
      <c r="AC155" s="50"/>
      <c r="AD155" s="50"/>
      <c r="AE155" s="50"/>
      <c r="AF155" s="50"/>
      <c r="AG155" s="50"/>
      <c r="AH155" s="50"/>
      <c r="AI155" s="50"/>
      <c r="AJ155" s="50"/>
      <c r="AK155" s="50"/>
      <c r="AL155" s="50"/>
      <c r="AM155" s="50"/>
      <c r="AN155" s="50"/>
    </row>
    <row r="156" spans="1:40">
      <c r="A156" s="50"/>
      <c r="B156" s="50"/>
      <c r="C156" s="50"/>
      <c r="D156" s="50"/>
      <c r="E156" s="50"/>
      <c r="F156" s="50"/>
      <c r="G156" s="50"/>
      <c r="H156" s="50"/>
      <c r="I156" s="50"/>
      <c r="J156" s="50"/>
      <c r="K156" s="50"/>
      <c r="L156" s="50"/>
      <c r="M156" s="50"/>
      <c r="N156" s="50"/>
      <c r="O156" s="50"/>
      <c r="P156" s="50"/>
      <c r="Q156" s="50"/>
      <c r="R156" s="50"/>
      <c r="S156" s="50"/>
      <c r="T156" s="50"/>
      <c r="U156" s="50"/>
      <c r="V156" s="50"/>
      <c r="W156" s="50"/>
      <c r="X156" s="50"/>
      <c r="Y156" s="50"/>
      <c r="Z156" s="50"/>
      <c r="AA156" s="50"/>
      <c r="AB156" s="50"/>
      <c r="AC156" s="50"/>
      <c r="AD156" s="50"/>
      <c r="AE156" s="50"/>
      <c r="AF156" s="50"/>
      <c r="AG156" s="50"/>
      <c r="AH156" s="50"/>
      <c r="AI156" s="50"/>
      <c r="AJ156" s="50"/>
      <c r="AK156" s="50"/>
      <c r="AL156" s="50"/>
      <c r="AM156" s="50"/>
      <c r="AN156" s="50"/>
    </row>
    <row r="157" spans="1:40">
      <c r="A157" s="50"/>
      <c r="B157" s="50"/>
      <c r="C157" s="50"/>
      <c r="D157" s="50"/>
      <c r="E157" s="50"/>
      <c r="F157" s="50"/>
      <c r="G157" s="50"/>
      <c r="H157" s="50"/>
      <c r="I157" s="50"/>
      <c r="J157" s="50"/>
      <c r="K157" s="50"/>
      <c r="L157" s="50"/>
      <c r="M157" s="50"/>
      <c r="N157" s="50"/>
      <c r="O157" s="50"/>
      <c r="P157" s="50"/>
      <c r="Q157" s="50"/>
      <c r="R157" s="50"/>
      <c r="S157" s="50"/>
      <c r="T157" s="50"/>
      <c r="U157" s="50"/>
      <c r="V157" s="50"/>
      <c r="W157" s="50"/>
      <c r="X157" s="50"/>
      <c r="Y157" s="50"/>
      <c r="Z157" s="50"/>
      <c r="AA157" s="50"/>
      <c r="AB157" s="50"/>
      <c r="AC157" s="50"/>
      <c r="AD157" s="50"/>
      <c r="AE157" s="50"/>
      <c r="AF157" s="50"/>
      <c r="AG157" s="50"/>
      <c r="AH157" s="50"/>
      <c r="AI157" s="50"/>
      <c r="AJ157" s="50"/>
      <c r="AK157" s="50"/>
      <c r="AL157" s="50"/>
      <c r="AM157" s="50"/>
      <c r="AN157" s="50"/>
    </row>
    <row r="158" spans="1:40">
      <c r="A158" s="50"/>
      <c r="B158" s="50"/>
      <c r="C158" s="50"/>
      <c r="D158" s="50"/>
      <c r="E158" s="50"/>
      <c r="F158" s="50"/>
      <c r="G158" s="50"/>
      <c r="H158" s="50"/>
      <c r="I158" s="50"/>
      <c r="J158" s="50"/>
      <c r="K158" s="50"/>
      <c r="L158" s="50"/>
      <c r="M158" s="50"/>
      <c r="N158" s="50"/>
      <c r="O158" s="50"/>
      <c r="P158" s="50"/>
      <c r="Q158" s="50"/>
      <c r="R158" s="50"/>
      <c r="S158" s="50"/>
      <c r="T158" s="50"/>
      <c r="U158" s="50"/>
      <c r="V158" s="50"/>
      <c r="W158" s="50"/>
      <c r="X158" s="50"/>
      <c r="Y158" s="50"/>
      <c r="Z158" s="50"/>
      <c r="AA158" s="50"/>
      <c r="AB158" s="50"/>
      <c r="AC158" s="50"/>
      <c r="AD158" s="50"/>
      <c r="AE158" s="50"/>
      <c r="AF158" s="50"/>
      <c r="AG158" s="50"/>
      <c r="AH158" s="50"/>
      <c r="AI158" s="50"/>
      <c r="AJ158" s="50"/>
      <c r="AK158" s="50"/>
      <c r="AL158" s="50"/>
      <c r="AM158" s="50"/>
      <c r="AN158" s="50"/>
    </row>
    <row r="159" spans="1:40">
      <c r="A159" s="50"/>
      <c r="B159" s="50"/>
      <c r="C159" s="50"/>
      <c r="D159" s="50"/>
      <c r="E159" s="50"/>
      <c r="F159" s="50"/>
      <c r="G159" s="50"/>
      <c r="H159" s="50"/>
      <c r="I159" s="50"/>
      <c r="J159" s="50"/>
      <c r="K159" s="50"/>
      <c r="L159" s="50"/>
      <c r="M159" s="50"/>
      <c r="N159" s="50"/>
      <c r="O159" s="50"/>
      <c r="P159" s="50"/>
      <c r="Q159" s="50"/>
      <c r="R159" s="50"/>
      <c r="S159" s="50"/>
      <c r="T159" s="50"/>
      <c r="U159" s="50"/>
      <c r="V159" s="50"/>
      <c r="W159" s="50"/>
      <c r="X159" s="50"/>
      <c r="Y159" s="50"/>
      <c r="Z159" s="50"/>
      <c r="AA159" s="50"/>
      <c r="AB159" s="50"/>
      <c r="AC159" s="50"/>
      <c r="AD159" s="50"/>
      <c r="AE159" s="50"/>
      <c r="AF159" s="50"/>
      <c r="AG159" s="50"/>
      <c r="AH159" s="50"/>
      <c r="AI159" s="50"/>
      <c r="AJ159" s="50"/>
      <c r="AK159" s="50"/>
      <c r="AL159" s="50"/>
      <c r="AM159" s="50"/>
      <c r="AN159" s="50"/>
    </row>
    <row r="160" spans="1:40">
      <c r="A160" s="50"/>
      <c r="B160" s="50"/>
      <c r="C160" s="50"/>
      <c r="D160" s="50"/>
      <c r="E160" s="50"/>
      <c r="F160" s="50"/>
      <c r="G160" s="50"/>
      <c r="H160" s="50"/>
      <c r="I160" s="50"/>
      <c r="J160" s="50"/>
      <c r="K160" s="50"/>
      <c r="L160" s="50"/>
      <c r="M160" s="50"/>
      <c r="N160" s="50"/>
      <c r="O160" s="50"/>
      <c r="P160" s="50"/>
      <c r="Q160" s="50"/>
      <c r="R160" s="50"/>
      <c r="S160" s="50"/>
      <c r="T160" s="50"/>
      <c r="U160" s="50"/>
      <c r="V160" s="50"/>
      <c r="W160" s="50"/>
      <c r="X160" s="50"/>
      <c r="Y160" s="50"/>
      <c r="Z160" s="50"/>
      <c r="AA160" s="50"/>
      <c r="AB160" s="50"/>
      <c r="AC160" s="50"/>
      <c r="AD160" s="50"/>
      <c r="AE160" s="50"/>
      <c r="AF160" s="50"/>
      <c r="AG160" s="50"/>
      <c r="AH160" s="50"/>
      <c r="AI160" s="50"/>
      <c r="AJ160" s="50"/>
      <c r="AK160" s="50"/>
      <c r="AL160" s="50"/>
      <c r="AM160" s="50"/>
      <c r="AN160" s="50"/>
    </row>
    <row r="161" spans="1:40">
      <c r="A161" s="50"/>
      <c r="B161" s="50"/>
      <c r="C161" s="50"/>
      <c r="D161" s="50"/>
      <c r="E161" s="50"/>
      <c r="F161" s="50"/>
      <c r="G161" s="50"/>
      <c r="H161" s="50"/>
      <c r="I161" s="50"/>
      <c r="J161" s="50"/>
      <c r="K161" s="50"/>
      <c r="L161" s="50"/>
      <c r="M161" s="50"/>
      <c r="N161" s="50"/>
      <c r="O161" s="50"/>
      <c r="P161" s="50"/>
      <c r="Q161" s="50"/>
      <c r="R161" s="50"/>
      <c r="S161" s="50"/>
      <c r="T161" s="50"/>
      <c r="U161" s="50"/>
      <c r="V161" s="50"/>
      <c r="W161" s="50"/>
      <c r="X161" s="50"/>
      <c r="Y161" s="50"/>
      <c r="Z161" s="50"/>
      <c r="AA161" s="50"/>
      <c r="AB161" s="50"/>
      <c r="AC161" s="50"/>
      <c r="AD161" s="50"/>
      <c r="AE161" s="50"/>
      <c r="AF161" s="50"/>
      <c r="AG161" s="50"/>
      <c r="AH161" s="50"/>
      <c r="AI161" s="50"/>
      <c r="AJ161" s="50"/>
      <c r="AK161" s="50"/>
      <c r="AL161" s="50"/>
      <c r="AM161" s="50"/>
      <c r="AN161" s="50"/>
    </row>
    <row r="162" spans="1:40">
      <c r="A162" s="50"/>
      <c r="B162" s="50"/>
      <c r="C162" s="50"/>
      <c r="D162" s="50"/>
      <c r="E162" s="50"/>
      <c r="F162" s="50"/>
      <c r="G162" s="50"/>
      <c r="H162" s="50"/>
      <c r="I162" s="50"/>
      <c r="J162" s="50"/>
      <c r="K162" s="50"/>
      <c r="L162" s="50"/>
      <c r="M162" s="50"/>
      <c r="N162" s="50"/>
      <c r="O162" s="50"/>
      <c r="P162" s="50"/>
      <c r="Q162" s="50"/>
      <c r="R162" s="50"/>
      <c r="S162" s="50"/>
      <c r="T162" s="50"/>
      <c r="U162" s="50"/>
      <c r="V162" s="50"/>
      <c r="W162" s="50"/>
      <c r="X162" s="50"/>
      <c r="Y162" s="50"/>
      <c r="Z162" s="50"/>
      <c r="AA162" s="50"/>
      <c r="AB162" s="50"/>
      <c r="AC162" s="50"/>
      <c r="AD162" s="50"/>
      <c r="AE162" s="50"/>
      <c r="AF162" s="50"/>
      <c r="AG162" s="50"/>
      <c r="AH162" s="50"/>
      <c r="AI162" s="50"/>
      <c r="AJ162" s="50"/>
      <c r="AK162" s="50"/>
      <c r="AL162" s="50"/>
      <c r="AM162" s="50"/>
      <c r="AN162" s="50"/>
    </row>
    <row r="163" spans="1:40">
      <c r="A163" s="50"/>
      <c r="B163" s="50"/>
      <c r="C163" s="50"/>
      <c r="D163" s="50"/>
      <c r="E163" s="50"/>
      <c r="F163" s="50"/>
      <c r="G163" s="50"/>
      <c r="H163" s="50"/>
      <c r="I163" s="50"/>
      <c r="J163" s="50"/>
      <c r="K163" s="50"/>
      <c r="L163" s="50"/>
      <c r="M163" s="50"/>
      <c r="N163" s="50"/>
      <c r="O163" s="50"/>
      <c r="P163" s="50"/>
      <c r="Q163" s="50"/>
      <c r="R163" s="50"/>
      <c r="S163" s="50"/>
      <c r="T163" s="50"/>
      <c r="U163" s="50"/>
      <c r="V163" s="50"/>
      <c r="W163" s="50"/>
      <c r="X163" s="50"/>
      <c r="Y163" s="50"/>
      <c r="Z163" s="50"/>
      <c r="AA163" s="50"/>
      <c r="AB163" s="50"/>
      <c r="AC163" s="50"/>
      <c r="AD163" s="50"/>
      <c r="AE163" s="50"/>
      <c r="AF163" s="50"/>
      <c r="AG163" s="50"/>
      <c r="AH163" s="50"/>
      <c r="AI163" s="50"/>
      <c r="AJ163" s="50"/>
      <c r="AK163" s="50"/>
      <c r="AL163" s="50"/>
      <c r="AM163" s="50"/>
      <c r="AN163" s="50"/>
    </row>
    <row r="164" spans="1:40">
      <c r="A164" s="50"/>
      <c r="B164" s="50"/>
      <c r="C164" s="50"/>
      <c r="D164" s="50"/>
      <c r="E164" s="50"/>
      <c r="F164" s="50"/>
      <c r="G164" s="50"/>
      <c r="H164" s="50"/>
      <c r="I164" s="50"/>
      <c r="J164" s="50"/>
      <c r="K164" s="50"/>
      <c r="L164" s="50"/>
      <c r="M164" s="50"/>
      <c r="N164" s="50"/>
      <c r="O164" s="50"/>
      <c r="P164" s="50"/>
      <c r="Q164" s="50"/>
      <c r="R164" s="50"/>
      <c r="S164" s="50"/>
      <c r="T164" s="50"/>
      <c r="U164" s="50"/>
      <c r="V164" s="50"/>
      <c r="W164" s="50"/>
      <c r="X164" s="50"/>
      <c r="Y164" s="50"/>
      <c r="Z164" s="50"/>
      <c r="AA164" s="50"/>
      <c r="AB164" s="50"/>
      <c r="AC164" s="50"/>
      <c r="AD164" s="50"/>
      <c r="AE164" s="50"/>
      <c r="AF164" s="50"/>
      <c r="AG164" s="50"/>
      <c r="AH164" s="50"/>
      <c r="AI164" s="50"/>
      <c r="AJ164" s="50"/>
      <c r="AK164" s="50"/>
      <c r="AL164" s="50"/>
      <c r="AM164" s="50"/>
      <c r="AN164" s="50"/>
    </row>
    <row r="165" spans="1:40">
      <c r="A165" s="50"/>
      <c r="B165" s="50"/>
      <c r="C165" s="50"/>
      <c r="D165" s="50"/>
      <c r="E165" s="50"/>
      <c r="F165" s="50"/>
      <c r="G165" s="50"/>
      <c r="H165" s="50"/>
      <c r="I165" s="50"/>
      <c r="J165" s="50"/>
      <c r="K165" s="50"/>
      <c r="L165" s="50"/>
      <c r="M165" s="50"/>
      <c r="N165" s="50"/>
      <c r="O165" s="50"/>
      <c r="P165" s="50"/>
      <c r="Q165" s="50"/>
      <c r="R165" s="50"/>
      <c r="S165" s="50"/>
      <c r="T165" s="50"/>
      <c r="U165" s="50"/>
      <c r="V165" s="50"/>
      <c r="W165" s="50"/>
      <c r="X165" s="50"/>
      <c r="Y165" s="50"/>
      <c r="Z165" s="50"/>
      <c r="AA165" s="50"/>
      <c r="AB165" s="50"/>
      <c r="AC165" s="50"/>
      <c r="AD165" s="50"/>
      <c r="AE165" s="50"/>
      <c r="AF165" s="50"/>
      <c r="AG165" s="50"/>
      <c r="AH165" s="50"/>
      <c r="AI165" s="50"/>
      <c r="AJ165" s="50"/>
      <c r="AK165" s="50"/>
      <c r="AL165" s="50"/>
      <c r="AM165" s="50"/>
      <c r="AN165" s="50"/>
    </row>
    <row r="166" spans="1:40">
      <c r="A166" s="50"/>
      <c r="B166" s="50"/>
      <c r="C166" s="50"/>
      <c r="D166" s="50"/>
      <c r="E166" s="50"/>
      <c r="F166" s="50"/>
      <c r="G166" s="50"/>
      <c r="H166" s="50"/>
      <c r="I166" s="50"/>
      <c r="J166" s="50"/>
      <c r="K166" s="50"/>
      <c r="L166" s="50"/>
      <c r="M166" s="50"/>
      <c r="N166" s="50"/>
      <c r="O166" s="50"/>
      <c r="P166" s="50"/>
      <c r="Q166" s="50"/>
      <c r="R166" s="50"/>
      <c r="S166" s="50"/>
      <c r="T166" s="50"/>
      <c r="U166" s="50"/>
      <c r="V166" s="50"/>
      <c r="W166" s="50"/>
      <c r="X166" s="50"/>
      <c r="Y166" s="50"/>
      <c r="Z166" s="50"/>
      <c r="AA166" s="50"/>
      <c r="AB166" s="50"/>
      <c r="AC166" s="50"/>
      <c r="AD166" s="50"/>
      <c r="AE166" s="50"/>
      <c r="AF166" s="50"/>
      <c r="AG166" s="50"/>
      <c r="AH166" s="50"/>
      <c r="AI166" s="50"/>
      <c r="AJ166" s="50"/>
      <c r="AK166" s="50"/>
      <c r="AL166" s="50"/>
      <c r="AM166" s="50"/>
      <c r="AN166" s="50"/>
    </row>
    <row r="167" spans="1:40">
      <c r="A167" s="50"/>
      <c r="B167" s="50"/>
      <c r="C167" s="50"/>
      <c r="D167" s="50"/>
      <c r="E167" s="50"/>
      <c r="F167" s="50"/>
      <c r="G167" s="50"/>
      <c r="H167" s="50"/>
      <c r="I167" s="50"/>
      <c r="J167" s="50"/>
      <c r="K167" s="50"/>
      <c r="L167" s="50"/>
      <c r="M167" s="50"/>
      <c r="N167" s="50"/>
      <c r="O167" s="50"/>
      <c r="P167" s="50"/>
      <c r="Q167" s="50"/>
      <c r="R167" s="50"/>
      <c r="S167" s="50"/>
      <c r="T167" s="50"/>
      <c r="U167" s="50"/>
      <c r="V167" s="50"/>
      <c r="W167" s="50"/>
      <c r="X167" s="50"/>
      <c r="Y167" s="50"/>
      <c r="Z167" s="50"/>
      <c r="AA167" s="50"/>
      <c r="AB167" s="50"/>
      <c r="AC167" s="50"/>
      <c r="AD167" s="50"/>
      <c r="AE167" s="50"/>
      <c r="AF167" s="50"/>
      <c r="AG167" s="50"/>
      <c r="AH167" s="50"/>
      <c r="AI167" s="50"/>
      <c r="AJ167" s="50"/>
      <c r="AK167" s="50"/>
      <c r="AL167" s="50"/>
      <c r="AM167" s="50"/>
      <c r="AN167" s="50"/>
    </row>
    <row r="168" spans="1:40">
      <c r="A168" s="50"/>
      <c r="B168" s="50"/>
      <c r="C168" s="50"/>
      <c r="D168" s="50"/>
      <c r="E168" s="50"/>
      <c r="F168" s="50"/>
      <c r="G168" s="50"/>
      <c r="H168" s="50"/>
      <c r="I168" s="50"/>
      <c r="J168" s="50"/>
      <c r="K168" s="50"/>
      <c r="L168" s="50"/>
      <c r="M168" s="50"/>
      <c r="N168" s="50"/>
      <c r="O168" s="50"/>
      <c r="P168" s="50"/>
      <c r="Q168" s="50"/>
      <c r="R168" s="50"/>
      <c r="S168" s="50"/>
      <c r="T168" s="50"/>
      <c r="U168" s="50"/>
      <c r="V168" s="50"/>
      <c r="W168" s="50"/>
      <c r="X168" s="50"/>
      <c r="Y168" s="50"/>
      <c r="Z168" s="50"/>
      <c r="AA168" s="50"/>
      <c r="AB168" s="50"/>
      <c r="AC168" s="50"/>
      <c r="AD168" s="50"/>
      <c r="AE168" s="50"/>
      <c r="AF168" s="50"/>
      <c r="AG168" s="50"/>
      <c r="AH168" s="50"/>
      <c r="AI168" s="50"/>
      <c r="AJ168" s="50"/>
      <c r="AK168" s="50"/>
      <c r="AL168" s="50"/>
      <c r="AM168" s="50"/>
      <c r="AN168" s="50"/>
    </row>
    <row r="169" spans="1:40">
      <c r="A169" s="50"/>
      <c r="B169" s="50"/>
      <c r="C169" s="50"/>
      <c r="D169" s="50"/>
      <c r="E169" s="50"/>
      <c r="F169" s="50"/>
      <c r="G169" s="50"/>
      <c r="H169" s="50"/>
      <c r="I169" s="50"/>
      <c r="J169" s="50"/>
      <c r="K169" s="50"/>
      <c r="L169" s="50"/>
      <c r="M169" s="50"/>
      <c r="N169" s="50"/>
      <c r="O169" s="50"/>
      <c r="P169" s="50"/>
      <c r="Q169" s="50"/>
      <c r="R169" s="50"/>
      <c r="S169" s="50"/>
      <c r="T169" s="50"/>
      <c r="U169" s="50"/>
      <c r="V169" s="50"/>
      <c r="W169" s="50"/>
      <c r="X169" s="50"/>
      <c r="Y169" s="50"/>
      <c r="Z169" s="50"/>
      <c r="AA169" s="50"/>
      <c r="AB169" s="50"/>
      <c r="AC169" s="50"/>
      <c r="AD169" s="50"/>
      <c r="AE169" s="50"/>
      <c r="AF169" s="50"/>
      <c r="AG169" s="50"/>
      <c r="AH169" s="50"/>
      <c r="AI169" s="50"/>
      <c r="AJ169" s="50"/>
      <c r="AK169" s="50"/>
      <c r="AL169" s="50"/>
      <c r="AM169" s="50"/>
      <c r="AN169" s="50"/>
    </row>
    <row r="170" spans="1:40">
      <c r="A170" s="50"/>
      <c r="B170" s="50"/>
      <c r="C170" s="50"/>
      <c r="D170" s="50"/>
      <c r="E170" s="50"/>
      <c r="F170" s="50"/>
      <c r="G170" s="50"/>
      <c r="H170" s="50"/>
      <c r="I170" s="50"/>
      <c r="J170" s="50"/>
      <c r="K170" s="50"/>
      <c r="L170" s="50"/>
      <c r="M170" s="50"/>
      <c r="N170" s="50"/>
      <c r="O170" s="50"/>
      <c r="P170" s="50"/>
      <c r="Q170" s="50"/>
      <c r="R170" s="50"/>
      <c r="S170" s="50"/>
      <c r="T170" s="50"/>
      <c r="U170" s="50"/>
      <c r="V170" s="50"/>
      <c r="W170" s="50"/>
      <c r="X170" s="50"/>
      <c r="Y170" s="50"/>
      <c r="Z170" s="50"/>
      <c r="AA170" s="50"/>
      <c r="AB170" s="50"/>
      <c r="AC170" s="50"/>
      <c r="AD170" s="50"/>
      <c r="AE170" s="50"/>
      <c r="AF170" s="50"/>
      <c r="AG170" s="50"/>
      <c r="AH170" s="50"/>
      <c r="AI170" s="50"/>
      <c r="AJ170" s="50"/>
      <c r="AK170" s="50"/>
      <c r="AL170" s="50"/>
      <c r="AM170" s="50"/>
      <c r="AN170" s="50"/>
    </row>
    <row r="171" spans="1:40">
      <c r="A171" s="50"/>
      <c r="B171" s="50"/>
      <c r="C171" s="50"/>
      <c r="D171" s="50"/>
      <c r="E171" s="50"/>
      <c r="F171" s="50"/>
      <c r="G171" s="50"/>
      <c r="H171" s="50"/>
      <c r="I171" s="50"/>
      <c r="J171" s="50"/>
      <c r="K171" s="50"/>
      <c r="L171" s="50"/>
      <c r="M171" s="50"/>
      <c r="N171" s="50"/>
      <c r="O171" s="50"/>
      <c r="P171" s="50"/>
      <c r="Q171" s="50"/>
      <c r="R171" s="50"/>
      <c r="S171" s="50"/>
      <c r="T171" s="50"/>
      <c r="U171" s="50"/>
      <c r="V171" s="50"/>
      <c r="W171" s="50"/>
      <c r="X171" s="50"/>
      <c r="Y171" s="50"/>
      <c r="Z171" s="50"/>
      <c r="AA171" s="50"/>
      <c r="AB171" s="50"/>
      <c r="AC171" s="50"/>
      <c r="AD171" s="50"/>
      <c r="AE171" s="50"/>
      <c r="AF171" s="50"/>
      <c r="AG171" s="50"/>
      <c r="AH171" s="50"/>
      <c r="AI171" s="50"/>
      <c r="AJ171" s="50"/>
      <c r="AK171" s="50"/>
      <c r="AL171" s="50"/>
      <c r="AM171" s="50"/>
      <c r="AN171" s="50"/>
    </row>
    <row r="172" spans="1:40">
      <c r="A172" s="50"/>
      <c r="B172" s="50"/>
      <c r="C172" s="50"/>
      <c r="D172" s="50"/>
      <c r="E172" s="50"/>
      <c r="F172" s="50"/>
      <c r="G172" s="50"/>
      <c r="H172" s="50"/>
      <c r="I172" s="50"/>
      <c r="J172" s="50"/>
      <c r="K172" s="50"/>
      <c r="L172" s="50"/>
      <c r="M172" s="50"/>
      <c r="N172" s="50"/>
      <c r="O172" s="50"/>
      <c r="P172" s="50"/>
      <c r="Q172" s="50"/>
      <c r="R172" s="50"/>
      <c r="S172" s="50"/>
      <c r="T172" s="50"/>
      <c r="U172" s="50"/>
      <c r="V172" s="50"/>
      <c r="W172" s="50"/>
      <c r="X172" s="50"/>
      <c r="Y172" s="50"/>
      <c r="Z172" s="50"/>
      <c r="AA172" s="50"/>
      <c r="AB172" s="50"/>
      <c r="AC172" s="50"/>
      <c r="AD172" s="50"/>
      <c r="AE172" s="50"/>
      <c r="AF172" s="50"/>
      <c r="AG172" s="50"/>
      <c r="AH172" s="50"/>
      <c r="AI172" s="50"/>
      <c r="AJ172" s="50"/>
      <c r="AK172" s="50"/>
      <c r="AL172" s="50"/>
      <c r="AM172" s="50"/>
      <c r="AN172" s="50"/>
    </row>
    <row r="173" spans="1:40">
      <c r="A173" s="50"/>
      <c r="B173" s="50"/>
      <c r="C173" s="50"/>
      <c r="D173" s="50"/>
      <c r="E173" s="50"/>
      <c r="F173" s="50"/>
      <c r="G173" s="50"/>
      <c r="H173" s="50"/>
      <c r="I173" s="50"/>
      <c r="J173" s="50"/>
      <c r="K173" s="50"/>
      <c r="L173" s="50"/>
      <c r="M173" s="50"/>
      <c r="N173" s="50"/>
      <c r="O173" s="50"/>
      <c r="P173" s="50"/>
      <c r="Q173" s="50"/>
      <c r="R173" s="50"/>
      <c r="S173" s="50"/>
      <c r="T173" s="50"/>
      <c r="U173" s="50"/>
      <c r="V173" s="50"/>
      <c r="W173" s="50"/>
      <c r="X173" s="50"/>
      <c r="Y173" s="50"/>
      <c r="Z173" s="50"/>
      <c r="AA173" s="50"/>
      <c r="AB173" s="50"/>
      <c r="AC173" s="50"/>
      <c r="AD173" s="50"/>
      <c r="AE173" s="50"/>
      <c r="AF173" s="50"/>
      <c r="AG173" s="50"/>
      <c r="AH173" s="50"/>
      <c r="AI173" s="50"/>
      <c r="AJ173" s="50"/>
      <c r="AK173" s="50"/>
      <c r="AL173" s="50"/>
      <c r="AM173" s="50"/>
      <c r="AN173" s="50"/>
    </row>
    <row r="174" spans="1:40">
      <c r="A174" s="50"/>
      <c r="B174" s="50"/>
      <c r="C174" s="50"/>
      <c r="D174" s="50"/>
      <c r="E174" s="50"/>
      <c r="F174" s="50"/>
      <c r="G174" s="50"/>
      <c r="H174" s="50"/>
      <c r="I174" s="50"/>
      <c r="J174" s="50"/>
      <c r="K174" s="50"/>
      <c r="L174" s="50"/>
      <c r="M174" s="50"/>
      <c r="N174" s="50"/>
      <c r="O174" s="50"/>
      <c r="P174" s="50"/>
      <c r="Q174" s="50"/>
      <c r="R174" s="50"/>
      <c r="S174" s="50"/>
      <c r="T174" s="50"/>
      <c r="U174" s="50"/>
      <c r="V174" s="50"/>
      <c r="W174" s="50"/>
      <c r="X174" s="50"/>
      <c r="Y174" s="50"/>
      <c r="Z174" s="50"/>
      <c r="AA174" s="50"/>
      <c r="AB174" s="50"/>
      <c r="AC174" s="50"/>
      <c r="AD174" s="50"/>
      <c r="AE174" s="50"/>
      <c r="AF174" s="50"/>
      <c r="AG174" s="50"/>
      <c r="AH174" s="50"/>
      <c r="AI174" s="50"/>
      <c r="AJ174" s="50"/>
      <c r="AK174" s="50"/>
      <c r="AL174" s="50"/>
      <c r="AM174" s="50"/>
      <c r="AN174" s="50"/>
    </row>
    <row r="175" spans="1:40">
      <c r="A175" s="50"/>
      <c r="B175" s="50"/>
      <c r="C175" s="50"/>
      <c r="D175" s="50"/>
      <c r="E175" s="50"/>
      <c r="F175" s="50"/>
      <c r="G175" s="50"/>
      <c r="H175" s="50"/>
      <c r="I175" s="50"/>
      <c r="J175" s="50"/>
      <c r="K175" s="50"/>
      <c r="L175" s="50"/>
      <c r="M175" s="50"/>
      <c r="N175" s="50"/>
      <c r="O175" s="50"/>
      <c r="P175" s="50"/>
      <c r="Q175" s="50"/>
      <c r="R175" s="50"/>
      <c r="S175" s="50"/>
      <c r="T175" s="50"/>
      <c r="U175" s="50"/>
      <c r="V175" s="50"/>
      <c r="W175" s="50"/>
      <c r="X175" s="50"/>
      <c r="Y175" s="50"/>
      <c r="Z175" s="50"/>
      <c r="AA175" s="50"/>
      <c r="AB175" s="50"/>
      <c r="AC175" s="50"/>
      <c r="AD175" s="50"/>
      <c r="AE175" s="50"/>
      <c r="AF175" s="50"/>
      <c r="AG175" s="50"/>
      <c r="AH175" s="50"/>
      <c r="AI175" s="50"/>
      <c r="AJ175" s="50"/>
      <c r="AK175" s="50"/>
      <c r="AL175" s="50"/>
      <c r="AM175" s="50"/>
      <c r="AN175" s="50"/>
    </row>
    <row r="176" spans="1:40">
      <c r="A176" s="50"/>
      <c r="B176" s="50"/>
      <c r="C176" s="50"/>
      <c r="D176" s="50"/>
      <c r="E176" s="50"/>
      <c r="F176" s="50"/>
      <c r="G176" s="50"/>
      <c r="H176" s="50"/>
      <c r="I176" s="50"/>
      <c r="J176" s="50"/>
      <c r="K176" s="50"/>
      <c r="L176" s="50"/>
      <c r="M176" s="50"/>
      <c r="N176" s="50"/>
      <c r="O176" s="50"/>
      <c r="P176" s="50"/>
      <c r="Q176" s="50"/>
      <c r="R176" s="50"/>
      <c r="S176" s="50"/>
      <c r="T176" s="50"/>
      <c r="U176" s="50"/>
      <c r="V176" s="50"/>
      <c r="W176" s="50"/>
      <c r="X176" s="50"/>
      <c r="Y176" s="50"/>
      <c r="Z176" s="50"/>
      <c r="AA176" s="50"/>
      <c r="AB176" s="50"/>
      <c r="AC176" s="50"/>
      <c r="AD176" s="50"/>
      <c r="AE176" s="50"/>
      <c r="AF176" s="50"/>
      <c r="AG176" s="50"/>
      <c r="AH176" s="50"/>
      <c r="AI176" s="50"/>
      <c r="AJ176" s="50"/>
      <c r="AK176" s="50"/>
      <c r="AL176" s="50"/>
      <c r="AM176" s="50"/>
      <c r="AN176" s="50"/>
    </row>
    <row r="177" spans="1:40">
      <c r="A177" s="50"/>
      <c r="B177" s="50"/>
      <c r="C177" s="50"/>
      <c r="D177" s="50"/>
      <c r="E177" s="50"/>
      <c r="F177" s="50"/>
      <c r="G177" s="50"/>
      <c r="H177" s="50"/>
      <c r="I177" s="50"/>
      <c r="J177" s="50"/>
      <c r="K177" s="50"/>
      <c r="L177" s="50"/>
      <c r="M177" s="50"/>
      <c r="N177" s="50"/>
      <c r="O177" s="50"/>
      <c r="P177" s="50"/>
      <c r="Q177" s="50"/>
      <c r="R177" s="50"/>
      <c r="S177" s="50"/>
      <c r="T177" s="50"/>
      <c r="U177" s="50"/>
      <c r="V177" s="50"/>
      <c r="W177" s="50"/>
      <c r="X177" s="50"/>
      <c r="Y177" s="50"/>
      <c r="Z177" s="50"/>
      <c r="AA177" s="50"/>
      <c r="AB177" s="50"/>
      <c r="AC177" s="50"/>
      <c r="AD177" s="50"/>
      <c r="AE177" s="50"/>
      <c r="AF177" s="50"/>
      <c r="AG177" s="50"/>
      <c r="AH177" s="50"/>
      <c r="AI177" s="50"/>
      <c r="AJ177" s="50"/>
      <c r="AK177" s="50"/>
      <c r="AL177" s="50"/>
      <c r="AM177" s="50"/>
      <c r="AN177" s="50"/>
    </row>
    <row r="178" spans="1:40">
      <c r="A178" s="50"/>
      <c r="B178" s="50"/>
      <c r="C178" s="50"/>
      <c r="D178" s="50"/>
      <c r="E178" s="50"/>
      <c r="F178" s="50"/>
      <c r="G178" s="50"/>
      <c r="H178" s="50"/>
      <c r="I178" s="50"/>
      <c r="J178" s="50"/>
      <c r="K178" s="50"/>
      <c r="L178" s="50"/>
      <c r="M178" s="50"/>
      <c r="N178" s="50"/>
      <c r="O178" s="50"/>
      <c r="P178" s="50"/>
      <c r="Q178" s="50"/>
      <c r="R178" s="50"/>
      <c r="S178" s="50"/>
      <c r="T178" s="50"/>
      <c r="U178" s="50"/>
      <c r="V178" s="50"/>
      <c r="W178" s="50"/>
      <c r="X178" s="50"/>
      <c r="Y178" s="50"/>
      <c r="Z178" s="50"/>
      <c r="AA178" s="50"/>
      <c r="AB178" s="50"/>
      <c r="AC178" s="50"/>
      <c r="AD178" s="50"/>
      <c r="AE178" s="50"/>
      <c r="AF178" s="50"/>
      <c r="AG178" s="50"/>
      <c r="AH178" s="50"/>
      <c r="AI178" s="50"/>
      <c r="AJ178" s="50"/>
      <c r="AK178" s="50"/>
      <c r="AL178" s="50"/>
      <c r="AM178" s="50"/>
      <c r="AN178" s="50"/>
    </row>
    <row r="179" spans="1:40">
      <c r="A179" s="50"/>
      <c r="B179" s="50"/>
      <c r="C179" s="50"/>
      <c r="D179" s="50"/>
      <c r="E179" s="50"/>
      <c r="F179" s="50"/>
      <c r="G179" s="50"/>
      <c r="H179" s="50"/>
      <c r="I179" s="50"/>
      <c r="J179" s="50"/>
      <c r="K179" s="50"/>
      <c r="L179" s="50"/>
      <c r="M179" s="50"/>
      <c r="N179" s="50"/>
      <c r="O179" s="50"/>
      <c r="P179" s="50"/>
      <c r="Q179" s="50"/>
      <c r="R179" s="50"/>
      <c r="S179" s="50"/>
      <c r="T179" s="50"/>
      <c r="U179" s="50"/>
      <c r="V179" s="50"/>
      <c r="W179" s="50"/>
      <c r="X179" s="50"/>
      <c r="Y179" s="50"/>
      <c r="Z179" s="50"/>
      <c r="AA179" s="50"/>
      <c r="AB179" s="50"/>
      <c r="AC179" s="50"/>
      <c r="AD179" s="50"/>
      <c r="AE179" s="50"/>
      <c r="AF179" s="50"/>
      <c r="AG179" s="50"/>
      <c r="AH179" s="50"/>
      <c r="AI179" s="50"/>
      <c r="AJ179" s="50"/>
      <c r="AK179" s="50"/>
      <c r="AL179" s="50"/>
      <c r="AM179" s="50"/>
      <c r="AN179" s="50"/>
    </row>
    <row r="180" spans="1:40">
      <c r="A180" s="50"/>
      <c r="B180" s="50"/>
      <c r="C180" s="50"/>
      <c r="D180" s="50"/>
      <c r="E180" s="50"/>
      <c r="F180" s="50"/>
      <c r="G180" s="50"/>
      <c r="H180" s="50"/>
      <c r="I180" s="50"/>
      <c r="J180" s="50"/>
      <c r="K180" s="50"/>
      <c r="L180" s="50"/>
      <c r="M180" s="50"/>
      <c r="N180" s="50"/>
      <c r="O180" s="50"/>
      <c r="P180" s="50"/>
      <c r="Q180" s="50"/>
      <c r="R180" s="50"/>
      <c r="S180" s="50"/>
      <c r="T180" s="50"/>
      <c r="U180" s="50"/>
      <c r="V180" s="50"/>
      <c r="W180" s="50"/>
      <c r="X180" s="50"/>
      <c r="Y180" s="50"/>
      <c r="Z180" s="50"/>
      <c r="AA180" s="50"/>
      <c r="AB180" s="50"/>
      <c r="AC180" s="50"/>
      <c r="AD180" s="50"/>
      <c r="AE180" s="50"/>
      <c r="AF180" s="50"/>
      <c r="AG180" s="50"/>
      <c r="AH180" s="50"/>
      <c r="AI180" s="50"/>
      <c r="AJ180" s="50"/>
      <c r="AK180" s="50"/>
      <c r="AL180" s="50"/>
      <c r="AM180" s="50"/>
      <c r="AN180" s="50"/>
    </row>
    <row r="181" spans="1:40">
      <c r="A181" s="50"/>
      <c r="B181" s="50"/>
      <c r="C181" s="50"/>
      <c r="D181" s="50"/>
      <c r="E181" s="50"/>
      <c r="F181" s="50"/>
      <c r="G181" s="50"/>
      <c r="H181" s="50"/>
      <c r="I181" s="50"/>
      <c r="J181" s="50"/>
      <c r="K181" s="50"/>
      <c r="L181" s="50"/>
      <c r="M181" s="50"/>
      <c r="N181" s="50"/>
      <c r="O181" s="50"/>
      <c r="P181" s="50"/>
      <c r="Q181" s="50"/>
      <c r="R181" s="50"/>
      <c r="S181" s="50"/>
      <c r="T181" s="50"/>
      <c r="U181" s="50"/>
      <c r="V181" s="50"/>
      <c r="W181" s="50"/>
      <c r="X181" s="50"/>
      <c r="Y181" s="50"/>
      <c r="Z181" s="50"/>
      <c r="AA181" s="50"/>
      <c r="AB181" s="50"/>
      <c r="AC181" s="50"/>
      <c r="AD181" s="50"/>
      <c r="AE181" s="50"/>
      <c r="AF181" s="50"/>
      <c r="AG181" s="50"/>
      <c r="AH181" s="50"/>
      <c r="AI181" s="50"/>
      <c r="AJ181" s="50"/>
      <c r="AK181" s="50"/>
      <c r="AL181" s="50"/>
      <c r="AM181" s="50"/>
      <c r="AN181" s="50"/>
    </row>
    <row r="182" spans="1:40">
      <c r="A182" s="50"/>
      <c r="B182" s="50"/>
      <c r="C182" s="50"/>
      <c r="D182" s="50"/>
      <c r="E182" s="50"/>
      <c r="F182" s="50"/>
      <c r="G182" s="50"/>
      <c r="H182" s="50"/>
      <c r="I182" s="50"/>
      <c r="J182" s="50"/>
      <c r="K182" s="50"/>
      <c r="L182" s="50"/>
      <c r="M182" s="50"/>
      <c r="N182" s="50"/>
      <c r="O182" s="50"/>
      <c r="P182" s="50"/>
      <c r="Q182" s="50"/>
      <c r="R182" s="50"/>
      <c r="S182" s="50"/>
      <c r="T182" s="50"/>
      <c r="U182" s="50"/>
      <c r="V182" s="50"/>
      <c r="W182" s="50"/>
      <c r="X182" s="50"/>
      <c r="Y182" s="50"/>
      <c r="Z182" s="50"/>
      <c r="AA182" s="50"/>
      <c r="AB182" s="50"/>
      <c r="AC182" s="50"/>
      <c r="AD182" s="50"/>
      <c r="AE182" s="50"/>
      <c r="AF182" s="50"/>
      <c r="AG182" s="50"/>
      <c r="AH182" s="50"/>
      <c r="AI182" s="50"/>
      <c r="AJ182" s="50"/>
      <c r="AK182" s="50"/>
      <c r="AL182" s="50"/>
      <c r="AM182" s="50"/>
      <c r="AN182" s="50"/>
    </row>
    <row r="183" spans="1:40">
      <c r="A183" s="50"/>
      <c r="B183" s="50"/>
      <c r="C183" s="50"/>
      <c r="D183" s="50"/>
      <c r="E183" s="50"/>
      <c r="F183" s="50"/>
      <c r="G183" s="50"/>
      <c r="H183" s="50"/>
      <c r="I183" s="50"/>
      <c r="J183" s="50"/>
      <c r="K183" s="50"/>
      <c r="L183" s="50"/>
      <c r="M183" s="50"/>
      <c r="N183" s="50"/>
      <c r="O183" s="50"/>
      <c r="P183" s="50"/>
      <c r="Q183" s="50"/>
      <c r="R183" s="50"/>
      <c r="S183" s="50"/>
      <c r="T183" s="50"/>
      <c r="U183" s="50"/>
      <c r="V183" s="50"/>
      <c r="W183" s="50"/>
      <c r="X183" s="50"/>
      <c r="Y183" s="50"/>
      <c r="Z183" s="50"/>
      <c r="AA183" s="50"/>
      <c r="AB183" s="50"/>
      <c r="AC183" s="50"/>
      <c r="AD183" s="50"/>
      <c r="AE183" s="50"/>
      <c r="AF183" s="50"/>
      <c r="AG183" s="50"/>
      <c r="AH183" s="50"/>
      <c r="AI183" s="50"/>
      <c r="AJ183" s="50"/>
      <c r="AK183" s="50"/>
      <c r="AL183" s="50"/>
      <c r="AM183" s="50"/>
      <c r="AN183" s="50"/>
    </row>
    <row r="184" spans="1:40">
      <c r="A184" s="50"/>
      <c r="B184" s="50"/>
      <c r="C184" s="50"/>
      <c r="D184" s="50"/>
      <c r="E184" s="50"/>
      <c r="F184" s="50"/>
      <c r="G184" s="50"/>
      <c r="H184" s="50"/>
      <c r="I184" s="50"/>
      <c r="J184" s="50"/>
      <c r="K184" s="50"/>
      <c r="L184" s="50"/>
      <c r="M184" s="50"/>
      <c r="N184" s="50"/>
      <c r="O184" s="50"/>
      <c r="P184" s="50"/>
      <c r="Q184" s="50"/>
      <c r="R184" s="50"/>
      <c r="S184" s="50"/>
      <c r="T184" s="50"/>
      <c r="U184" s="50"/>
      <c r="V184" s="50"/>
      <c r="W184" s="50"/>
      <c r="X184" s="50"/>
      <c r="Y184" s="50"/>
      <c r="Z184" s="50"/>
      <c r="AA184" s="50"/>
      <c r="AB184" s="50"/>
      <c r="AC184" s="50"/>
      <c r="AD184" s="50"/>
      <c r="AE184" s="50"/>
      <c r="AF184" s="50"/>
      <c r="AG184" s="50"/>
      <c r="AH184" s="50"/>
      <c r="AI184" s="50"/>
      <c r="AJ184" s="50"/>
      <c r="AK184" s="50"/>
      <c r="AL184" s="50"/>
      <c r="AM184" s="50"/>
      <c r="AN184" s="50"/>
    </row>
    <row r="185" spans="1:40">
      <c r="A185" s="50"/>
      <c r="B185" s="50"/>
      <c r="C185" s="50"/>
      <c r="D185" s="50"/>
      <c r="E185" s="50"/>
      <c r="F185" s="50"/>
      <c r="G185" s="50"/>
      <c r="H185" s="50"/>
      <c r="I185" s="50"/>
      <c r="J185" s="50"/>
      <c r="K185" s="50"/>
      <c r="L185" s="50"/>
      <c r="M185" s="50"/>
      <c r="N185" s="50"/>
      <c r="O185" s="50"/>
      <c r="P185" s="50"/>
      <c r="Q185" s="50"/>
      <c r="R185" s="50"/>
      <c r="S185" s="50"/>
      <c r="T185" s="50"/>
      <c r="U185" s="50"/>
      <c r="V185" s="50"/>
      <c r="W185" s="50"/>
      <c r="X185" s="50"/>
      <c r="Y185" s="50"/>
      <c r="Z185" s="50"/>
      <c r="AA185" s="50"/>
      <c r="AB185" s="50"/>
      <c r="AC185" s="50"/>
      <c r="AD185" s="50"/>
      <c r="AE185" s="50"/>
      <c r="AF185" s="50"/>
      <c r="AG185" s="50"/>
      <c r="AH185" s="50"/>
      <c r="AI185" s="50"/>
      <c r="AJ185" s="50"/>
      <c r="AK185" s="50"/>
      <c r="AL185" s="50"/>
      <c r="AM185" s="50"/>
      <c r="AN185" s="50"/>
    </row>
    <row r="186" spans="1:40">
      <c r="A186" s="50"/>
      <c r="B186" s="50"/>
      <c r="C186" s="50"/>
      <c r="D186" s="50"/>
      <c r="E186" s="50"/>
      <c r="F186" s="50"/>
      <c r="G186" s="50"/>
      <c r="H186" s="50"/>
      <c r="I186" s="50"/>
      <c r="J186" s="50"/>
      <c r="K186" s="50"/>
      <c r="L186" s="50"/>
      <c r="M186" s="50"/>
      <c r="N186" s="50"/>
      <c r="O186" s="50"/>
      <c r="P186" s="50"/>
      <c r="Q186" s="50"/>
      <c r="R186" s="50"/>
      <c r="S186" s="50"/>
      <c r="T186" s="50"/>
      <c r="U186" s="50"/>
      <c r="V186" s="50"/>
      <c r="W186" s="50"/>
      <c r="X186" s="50"/>
      <c r="Y186" s="50"/>
      <c r="Z186" s="50"/>
      <c r="AA186" s="50"/>
      <c r="AB186" s="50"/>
      <c r="AC186" s="50"/>
      <c r="AD186" s="50"/>
      <c r="AE186" s="50"/>
      <c r="AF186" s="50"/>
      <c r="AG186" s="50"/>
      <c r="AH186" s="50"/>
      <c r="AI186" s="50"/>
      <c r="AJ186" s="50"/>
      <c r="AK186" s="50"/>
      <c r="AL186" s="50"/>
      <c r="AM186" s="50"/>
      <c r="AN186" s="50"/>
    </row>
    <row r="187" spans="1:40">
      <c r="A187" s="50"/>
      <c r="B187" s="50"/>
      <c r="C187" s="50"/>
      <c r="D187" s="50"/>
      <c r="E187" s="50"/>
      <c r="F187" s="50"/>
      <c r="G187" s="50"/>
      <c r="H187" s="50"/>
      <c r="I187" s="50"/>
      <c r="J187" s="50"/>
      <c r="K187" s="50"/>
      <c r="L187" s="50"/>
      <c r="M187" s="50"/>
      <c r="N187" s="50"/>
      <c r="O187" s="50"/>
      <c r="P187" s="50"/>
      <c r="Q187" s="50"/>
      <c r="R187" s="50"/>
      <c r="S187" s="50"/>
      <c r="T187" s="50"/>
      <c r="U187" s="50"/>
      <c r="V187" s="50"/>
      <c r="W187" s="50"/>
      <c r="X187" s="50"/>
      <c r="Y187" s="50"/>
      <c r="Z187" s="50"/>
      <c r="AA187" s="50"/>
      <c r="AB187" s="50"/>
      <c r="AC187" s="50"/>
      <c r="AD187" s="50"/>
      <c r="AE187" s="50"/>
      <c r="AF187" s="50"/>
      <c r="AG187" s="50"/>
      <c r="AH187" s="50"/>
      <c r="AI187" s="50"/>
      <c r="AJ187" s="50"/>
      <c r="AK187" s="50"/>
      <c r="AL187" s="50"/>
      <c r="AM187" s="50"/>
      <c r="AN187" s="50"/>
    </row>
    <row r="188" spans="1:40">
      <c r="A188" s="50"/>
      <c r="B188" s="50"/>
      <c r="C188" s="50"/>
      <c r="D188" s="50"/>
      <c r="E188" s="50"/>
      <c r="F188" s="50"/>
      <c r="G188" s="50"/>
      <c r="H188" s="50"/>
      <c r="I188" s="50"/>
      <c r="J188" s="50"/>
      <c r="K188" s="50"/>
      <c r="L188" s="50"/>
      <c r="M188" s="50"/>
      <c r="N188" s="50"/>
      <c r="O188" s="50"/>
      <c r="P188" s="50"/>
      <c r="Q188" s="50"/>
      <c r="R188" s="50"/>
      <c r="S188" s="50"/>
      <c r="T188" s="50"/>
      <c r="U188" s="50"/>
      <c r="V188" s="50"/>
      <c r="W188" s="50"/>
      <c r="X188" s="50"/>
      <c r="Y188" s="50"/>
      <c r="Z188" s="50"/>
      <c r="AA188" s="50"/>
      <c r="AB188" s="50"/>
      <c r="AC188" s="50"/>
      <c r="AD188" s="50"/>
      <c r="AE188" s="50"/>
      <c r="AF188" s="50"/>
      <c r="AG188" s="50"/>
      <c r="AH188" s="50"/>
      <c r="AI188" s="50"/>
      <c r="AJ188" s="50"/>
      <c r="AK188" s="50"/>
      <c r="AL188" s="50"/>
      <c r="AM188" s="50"/>
      <c r="AN188" s="50"/>
    </row>
    <row r="189" spans="1:40">
      <c r="A189" s="50"/>
      <c r="B189" s="50"/>
      <c r="C189" s="50"/>
      <c r="D189" s="50"/>
      <c r="E189" s="50"/>
      <c r="F189" s="50"/>
      <c r="G189" s="50"/>
      <c r="H189" s="50"/>
      <c r="I189" s="50"/>
      <c r="J189" s="50"/>
      <c r="K189" s="50"/>
      <c r="L189" s="50"/>
      <c r="M189" s="50"/>
      <c r="N189" s="50"/>
      <c r="O189" s="50"/>
      <c r="P189" s="50"/>
      <c r="Q189" s="50"/>
      <c r="R189" s="50"/>
      <c r="S189" s="50"/>
      <c r="T189" s="50"/>
      <c r="U189" s="50"/>
      <c r="V189" s="50"/>
      <c r="W189" s="50"/>
      <c r="X189" s="50"/>
      <c r="Y189" s="50"/>
      <c r="Z189" s="50"/>
      <c r="AA189" s="50"/>
      <c r="AB189" s="50"/>
      <c r="AC189" s="50"/>
      <c r="AD189" s="50"/>
      <c r="AE189" s="50"/>
      <c r="AF189" s="50"/>
      <c r="AG189" s="50"/>
      <c r="AH189" s="50"/>
      <c r="AI189" s="50"/>
      <c r="AJ189" s="50"/>
      <c r="AK189" s="50"/>
      <c r="AL189" s="50"/>
      <c r="AM189" s="50"/>
      <c r="AN189" s="50"/>
    </row>
    <row r="190" spans="1:40">
      <c r="A190" s="50"/>
      <c r="B190" s="50"/>
      <c r="C190" s="50"/>
      <c r="D190" s="50"/>
      <c r="E190" s="50"/>
      <c r="F190" s="50"/>
      <c r="G190" s="50"/>
      <c r="H190" s="50"/>
      <c r="I190" s="50"/>
      <c r="J190" s="50"/>
      <c r="K190" s="50"/>
      <c r="L190" s="50"/>
      <c r="M190" s="50"/>
      <c r="N190" s="50"/>
      <c r="O190" s="50"/>
      <c r="P190" s="50"/>
      <c r="Q190" s="50"/>
      <c r="R190" s="50"/>
      <c r="S190" s="50"/>
      <c r="T190" s="50"/>
      <c r="U190" s="50"/>
      <c r="V190" s="50"/>
      <c r="W190" s="50"/>
      <c r="X190" s="50"/>
      <c r="Y190" s="50"/>
      <c r="Z190" s="50"/>
      <c r="AA190" s="50"/>
      <c r="AB190" s="50"/>
      <c r="AC190" s="50"/>
      <c r="AD190" s="50"/>
      <c r="AE190" s="50"/>
      <c r="AF190" s="50"/>
      <c r="AG190" s="50"/>
      <c r="AH190" s="50"/>
      <c r="AI190" s="50"/>
      <c r="AJ190" s="50"/>
      <c r="AK190" s="50"/>
      <c r="AL190" s="50"/>
      <c r="AM190" s="50"/>
      <c r="AN190" s="50"/>
    </row>
    <row r="191" spans="1:40">
      <c r="A191" s="50"/>
      <c r="B191" s="50"/>
      <c r="C191" s="50"/>
      <c r="D191" s="50"/>
      <c r="E191" s="50"/>
      <c r="F191" s="50"/>
      <c r="G191" s="50"/>
      <c r="H191" s="50"/>
      <c r="I191" s="50"/>
      <c r="J191" s="50"/>
      <c r="K191" s="50"/>
      <c r="L191" s="50"/>
      <c r="M191" s="50"/>
      <c r="N191" s="50"/>
      <c r="O191" s="50"/>
      <c r="P191" s="50"/>
      <c r="Q191" s="50"/>
      <c r="R191" s="50"/>
      <c r="S191" s="50"/>
      <c r="T191" s="50"/>
      <c r="U191" s="50"/>
      <c r="V191" s="50"/>
      <c r="W191" s="50"/>
      <c r="X191" s="50"/>
      <c r="Y191" s="50"/>
      <c r="Z191" s="50"/>
      <c r="AA191" s="50"/>
      <c r="AB191" s="50"/>
      <c r="AC191" s="50"/>
      <c r="AD191" s="50"/>
      <c r="AE191" s="50"/>
      <c r="AF191" s="50"/>
      <c r="AG191" s="50"/>
      <c r="AH191" s="50"/>
      <c r="AI191" s="50"/>
      <c r="AJ191" s="50"/>
      <c r="AK191" s="50"/>
      <c r="AL191" s="50"/>
      <c r="AM191" s="50"/>
      <c r="AN191" s="50"/>
    </row>
    <row r="192" spans="1:40">
      <c r="A192" s="50"/>
      <c r="B192" s="50"/>
      <c r="C192" s="50"/>
      <c r="D192" s="50"/>
      <c r="E192" s="50"/>
      <c r="F192" s="50"/>
      <c r="G192" s="50"/>
      <c r="H192" s="50"/>
      <c r="I192" s="50"/>
      <c r="J192" s="50"/>
      <c r="K192" s="50"/>
      <c r="L192" s="50"/>
      <c r="M192" s="50"/>
      <c r="N192" s="50"/>
      <c r="O192" s="50"/>
      <c r="P192" s="50"/>
      <c r="Q192" s="50"/>
      <c r="R192" s="50"/>
      <c r="S192" s="50"/>
      <c r="T192" s="50"/>
      <c r="U192" s="50"/>
      <c r="V192" s="50"/>
      <c r="W192" s="50"/>
      <c r="X192" s="50"/>
      <c r="Y192" s="50"/>
      <c r="Z192" s="50"/>
      <c r="AA192" s="50"/>
      <c r="AB192" s="50"/>
      <c r="AC192" s="50"/>
      <c r="AD192" s="50"/>
      <c r="AE192" s="50"/>
      <c r="AF192" s="50"/>
      <c r="AG192" s="50"/>
      <c r="AH192" s="50"/>
      <c r="AI192" s="50"/>
      <c r="AJ192" s="50"/>
      <c r="AK192" s="50"/>
      <c r="AL192" s="50"/>
      <c r="AM192" s="50"/>
      <c r="AN192" s="50"/>
    </row>
    <row r="193" spans="1:40">
      <c r="A193" s="50"/>
      <c r="B193" s="50"/>
      <c r="C193" s="50"/>
      <c r="D193" s="50"/>
      <c r="E193" s="50"/>
      <c r="F193" s="50"/>
      <c r="G193" s="50"/>
      <c r="H193" s="50"/>
      <c r="I193" s="50"/>
      <c r="J193" s="50"/>
      <c r="K193" s="50"/>
      <c r="L193" s="50"/>
      <c r="M193" s="50"/>
      <c r="N193" s="50"/>
      <c r="O193" s="50"/>
      <c r="P193" s="50"/>
      <c r="Q193" s="50"/>
      <c r="R193" s="50"/>
      <c r="S193" s="50"/>
      <c r="T193" s="50"/>
      <c r="U193" s="50"/>
      <c r="V193" s="50"/>
      <c r="W193" s="50"/>
      <c r="X193" s="50"/>
      <c r="Y193" s="50"/>
      <c r="Z193" s="50"/>
      <c r="AA193" s="50"/>
      <c r="AB193" s="50"/>
      <c r="AC193" s="50"/>
      <c r="AD193" s="50"/>
      <c r="AE193" s="50"/>
      <c r="AF193" s="50"/>
      <c r="AG193" s="50"/>
      <c r="AH193" s="50"/>
      <c r="AI193" s="50"/>
      <c r="AJ193" s="50"/>
      <c r="AK193" s="50"/>
      <c r="AL193" s="50"/>
      <c r="AM193" s="50"/>
      <c r="AN193" s="50"/>
    </row>
    <row r="194" spans="1:40">
      <c r="A194" s="50"/>
      <c r="B194" s="50"/>
      <c r="C194" s="50"/>
      <c r="D194" s="50"/>
      <c r="E194" s="50"/>
      <c r="F194" s="50"/>
      <c r="G194" s="50"/>
      <c r="H194" s="50"/>
      <c r="I194" s="50"/>
      <c r="J194" s="50"/>
      <c r="K194" s="50"/>
      <c r="L194" s="50"/>
      <c r="M194" s="50"/>
      <c r="N194" s="50"/>
      <c r="O194" s="50"/>
      <c r="P194" s="50"/>
      <c r="Q194" s="50"/>
      <c r="R194" s="50"/>
      <c r="S194" s="50"/>
      <c r="T194" s="50"/>
      <c r="U194" s="50"/>
      <c r="V194" s="50"/>
      <c r="W194" s="50"/>
      <c r="X194" s="50"/>
      <c r="Y194" s="50"/>
      <c r="Z194" s="50"/>
      <c r="AA194" s="50"/>
      <c r="AB194" s="50"/>
      <c r="AC194" s="50"/>
      <c r="AD194" s="50"/>
      <c r="AE194" s="50"/>
      <c r="AF194" s="50"/>
      <c r="AG194" s="50"/>
      <c r="AH194" s="50"/>
      <c r="AI194" s="50"/>
      <c r="AJ194" s="50"/>
      <c r="AK194" s="50"/>
      <c r="AL194" s="50"/>
      <c r="AM194" s="50"/>
      <c r="AN194" s="50"/>
    </row>
    <row r="195" spans="1:40">
      <c r="A195" s="50"/>
      <c r="B195" s="50"/>
      <c r="C195" s="50"/>
      <c r="D195" s="50"/>
      <c r="E195" s="50"/>
      <c r="F195" s="50"/>
      <c r="G195" s="50"/>
      <c r="H195" s="50"/>
      <c r="I195" s="50"/>
      <c r="J195" s="50"/>
      <c r="K195" s="50"/>
      <c r="L195" s="50"/>
      <c r="M195" s="50"/>
      <c r="N195" s="50"/>
      <c r="O195" s="50"/>
      <c r="P195" s="50"/>
      <c r="Q195" s="50"/>
      <c r="R195" s="50"/>
      <c r="S195" s="50"/>
      <c r="T195" s="50"/>
      <c r="U195" s="50"/>
      <c r="V195" s="50"/>
      <c r="W195" s="50"/>
      <c r="X195" s="50"/>
      <c r="Y195" s="50"/>
      <c r="Z195" s="50"/>
      <c r="AA195" s="50"/>
      <c r="AB195" s="50"/>
      <c r="AC195" s="50"/>
      <c r="AD195" s="50"/>
      <c r="AE195" s="50"/>
      <c r="AF195" s="50"/>
      <c r="AG195" s="50"/>
      <c r="AH195" s="50"/>
      <c r="AI195" s="50"/>
      <c r="AJ195" s="50"/>
      <c r="AK195" s="50"/>
      <c r="AL195" s="50"/>
      <c r="AM195" s="50"/>
      <c r="AN195" s="50"/>
    </row>
    <row r="196" spans="1:40">
      <c r="A196" s="50"/>
      <c r="B196" s="50"/>
      <c r="C196" s="50"/>
      <c r="D196" s="50"/>
      <c r="E196" s="50"/>
      <c r="F196" s="50"/>
      <c r="G196" s="50"/>
      <c r="H196" s="50"/>
      <c r="I196" s="50"/>
      <c r="J196" s="50"/>
      <c r="K196" s="50"/>
      <c r="L196" s="50"/>
      <c r="M196" s="50"/>
      <c r="N196" s="50"/>
      <c r="O196" s="50"/>
      <c r="P196" s="50"/>
      <c r="Q196" s="50"/>
      <c r="R196" s="50"/>
      <c r="S196" s="50"/>
      <c r="T196" s="50"/>
      <c r="U196" s="50"/>
      <c r="V196" s="50"/>
      <c r="W196" s="50"/>
      <c r="X196" s="50"/>
      <c r="Y196" s="50"/>
      <c r="Z196" s="50"/>
      <c r="AA196" s="50"/>
      <c r="AB196" s="50"/>
      <c r="AC196" s="50"/>
      <c r="AD196" s="50"/>
      <c r="AE196" s="50"/>
      <c r="AF196" s="50"/>
      <c r="AG196" s="50"/>
      <c r="AH196" s="50"/>
      <c r="AI196" s="50"/>
      <c r="AJ196" s="50"/>
      <c r="AK196" s="50"/>
      <c r="AL196" s="50"/>
      <c r="AM196" s="50"/>
      <c r="AN196" s="50"/>
    </row>
    <row r="197" spans="1:40">
      <c r="A197" s="50"/>
      <c r="B197" s="50"/>
      <c r="C197" s="50"/>
      <c r="D197" s="50"/>
      <c r="E197" s="50"/>
      <c r="F197" s="50"/>
      <c r="G197" s="50"/>
      <c r="H197" s="50"/>
      <c r="I197" s="50"/>
      <c r="J197" s="50"/>
      <c r="K197" s="50"/>
      <c r="L197" s="50"/>
      <c r="M197" s="50"/>
      <c r="N197" s="50"/>
      <c r="O197" s="50"/>
      <c r="P197" s="50"/>
      <c r="Q197" s="50"/>
      <c r="R197" s="50"/>
      <c r="S197" s="50"/>
      <c r="T197" s="50"/>
      <c r="U197" s="50"/>
      <c r="V197" s="50"/>
      <c r="W197" s="50"/>
      <c r="X197" s="50"/>
      <c r="Y197" s="50"/>
      <c r="Z197" s="50"/>
      <c r="AA197" s="50"/>
      <c r="AB197" s="50"/>
      <c r="AC197" s="50"/>
      <c r="AD197" s="50"/>
      <c r="AE197" s="50"/>
      <c r="AF197" s="50"/>
      <c r="AG197" s="50"/>
      <c r="AH197" s="50"/>
      <c r="AI197" s="50"/>
      <c r="AJ197" s="50"/>
      <c r="AK197" s="50"/>
      <c r="AL197" s="50"/>
      <c r="AM197" s="50"/>
      <c r="AN197" s="50"/>
    </row>
    <row r="198" spans="1:40">
      <c r="A198" s="50"/>
      <c r="B198" s="50"/>
      <c r="C198" s="50"/>
      <c r="D198" s="50"/>
      <c r="E198" s="50"/>
      <c r="F198" s="50"/>
      <c r="G198" s="50"/>
      <c r="H198" s="50"/>
      <c r="I198" s="50"/>
      <c r="J198" s="50"/>
      <c r="K198" s="50"/>
      <c r="L198" s="50"/>
      <c r="M198" s="50"/>
      <c r="N198" s="50"/>
      <c r="O198" s="50"/>
      <c r="P198" s="50"/>
      <c r="Q198" s="50"/>
      <c r="R198" s="50"/>
      <c r="S198" s="50"/>
      <c r="T198" s="50"/>
      <c r="U198" s="50"/>
      <c r="V198" s="50"/>
      <c r="W198" s="50"/>
      <c r="X198" s="50"/>
      <c r="Y198" s="50"/>
      <c r="Z198" s="50"/>
      <c r="AA198" s="50"/>
      <c r="AB198" s="50"/>
      <c r="AC198" s="50"/>
      <c r="AD198" s="50"/>
      <c r="AE198" s="50"/>
      <c r="AF198" s="50"/>
      <c r="AG198" s="50"/>
      <c r="AH198" s="50"/>
      <c r="AI198" s="50"/>
      <c r="AJ198" s="50"/>
      <c r="AK198" s="50"/>
      <c r="AL198" s="50"/>
      <c r="AM198" s="50"/>
      <c r="AN198" s="50"/>
    </row>
    <row r="199" spans="1:40">
      <c r="A199" s="50"/>
      <c r="B199" s="50"/>
      <c r="C199" s="50"/>
      <c r="D199" s="50"/>
      <c r="E199" s="50"/>
      <c r="F199" s="50"/>
      <c r="G199" s="50"/>
      <c r="H199" s="50"/>
      <c r="I199" s="50"/>
      <c r="J199" s="50"/>
      <c r="K199" s="50"/>
      <c r="L199" s="50"/>
      <c r="M199" s="50"/>
      <c r="N199" s="50"/>
      <c r="O199" s="50"/>
      <c r="P199" s="50"/>
      <c r="Q199" s="50"/>
      <c r="R199" s="50"/>
      <c r="S199" s="50"/>
      <c r="T199" s="50"/>
      <c r="U199" s="50"/>
      <c r="V199" s="50"/>
      <c r="W199" s="50"/>
      <c r="X199" s="50"/>
      <c r="Y199" s="50"/>
      <c r="Z199" s="50"/>
      <c r="AA199" s="50"/>
      <c r="AB199" s="50"/>
      <c r="AC199" s="50"/>
      <c r="AD199" s="50"/>
      <c r="AE199" s="50"/>
      <c r="AF199" s="50"/>
      <c r="AG199" s="50"/>
      <c r="AH199" s="50"/>
      <c r="AI199" s="50"/>
      <c r="AJ199" s="50"/>
      <c r="AK199" s="50"/>
      <c r="AL199" s="50"/>
      <c r="AM199" s="50"/>
      <c r="AN199" s="50"/>
    </row>
    <row r="200" spans="1:40">
      <c r="A200" s="50"/>
      <c r="B200" s="50"/>
      <c r="C200" s="50"/>
      <c r="D200" s="50"/>
      <c r="E200" s="50"/>
      <c r="F200" s="50"/>
      <c r="G200" s="50"/>
      <c r="H200" s="50"/>
      <c r="I200" s="50"/>
      <c r="J200" s="50"/>
      <c r="K200" s="50"/>
      <c r="L200" s="50"/>
      <c r="M200" s="50"/>
      <c r="N200" s="50"/>
      <c r="O200" s="50"/>
      <c r="P200" s="50"/>
      <c r="Q200" s="50"/>
      <c r="R200" s="50"/>
      <c r="S200" s="50"/>
      <c r="T200" s="50"/>
      <c r="U200" s="50"/>
      <c r="V200" s="50"/>
      <c r="W200" s="50"/>
      <c r="X200" s="50"/>
      <c r="Y200" s="50"/>
      <c r="Z200" s="50"/>
      <c r="AA200" s="50"/>
      <c r="AB200" s="50"/>
      <c r="AC200" s="50"/>
      <c r="AD200" s="50"/>
      <c r="AE200" s="50"/>
      <c r="AF200" s="50"/>
      <c r="AG200" s="50"/>
      <c r="AH200" s="50"/>
      <c r="AI200" s="50"/>
      <c r="AJ200" s="50"/>
      <c r="AK200" s="50"/>
      <c r="AL200" s="50"/>
      <c r="AM200" s="50"/>
      <c r="AN200" s="50"/>
    </row>
    <row r="201" spans="1:40">
      <c r="A201" s="50"/>
      <c r="B201" s="50"/>
      <c r="C201" s="50"/>
      <c r="D201" s="50"/>
      <c r="E201" s="50"/>
      <c r="F201" s="50"/>
      <c r="G201" s="50"/>
      <c r="H201" s="50"/>
      <c r="I201" s="50"/>
      <c r="J201" s="50"/>
      <c r="K201" s="50"/>
      <c r="L201" s="50"/>
      <c r="M201" s="50"/>
      <c r="N201" s="50"/>
      <c r="O201" s="50"/>
      <c r="P201" s="50"/>
      <c r="Q201" s="50"/>
      <c r="R201" s="50"/>
      <c r="S201" s="50"/>
      <c r="T201" s="50"/>
      <c r="U201" s="50"/>
      <c r="V201" s="50"/>
      <c r="W201" s="50"/>
      <c r="X201" s="50"/>
      <c r="Y201" s="50"/>
      <c r="Z201" s="50"/>
      <c r="AA201" s="50"/>
      <c r="AB201" s="50"/>
      <c r="AC201" s="50"/>
      <c r="AD201" s="50"/>
      <c r="AE201" s="50"/>
      <c r="AF201" s="50"/>
      <c r="AG201" s="50"/>
      <c r="AH201" s="50"/>
      <c r="AI201" s="50"/>
      <c r="AJ201" s="50"/>
      <c r="AK201" s="50"/>
      <c r="AL201" s="50"/>
      <c r="AM201" s="50"/>
      <c r="AN201" s="50"/>
    </row>
    <row r="202" spans="1:40">
      <c r="A202" s="50"/>
      <c r="B202" s="50"/>
      <c r="C202" s="50"/>
      <c r="D202" s="50"/>
      <c r="E202" s="50"/>
      <c r="F202" s="50"/>
      <c r="G202" s="50"/>
      <c r="H202" s="50"/>
      <c r="I202" s="50"/>
      <c r="J202" s="50"/>
      <c r="K202" s="50"/>
      <c r="L202" s="50"/>
      <c r="M202" s="50"/>
      <c r="N202" s="50"/>
      <c r="O202" s="50"/>
      <c r="P202" s="50"/>
      <c r="Q202" s="50"/>
      <c r="R202" s="50"/>
      <c r="S202" s="50"/>
      <c r="T202" s="50"/>
      <c r="U202" s="50"/>
      <c r="V202" s="50"/>
      <c r="W202" s="50"/>
      <c r="X202" s="50"/>
      <c r="Y202" s="50"/>
      <c r="Z202" s="50"/>
      <c r="AA202" s="50"/>
      <c r="AB202" s="50"/>
      <c r="AC202" s="50"/>
      <c r="AD202" s="50"/>
      <c r="AE202" s="50"/>
      <c r="AF202" s="50"/>
      <c r="AG202" s="50"/>
      <c r="AH202" s="50"/>
      <c r="AI202" s="50"/>
      <c r="AJ202" s="50"/>
      <c r="AK202" s="50"/>
      <c r="AL202" s="50"/>
      <c r="AM202" s="50"/>
      <c r="AN202" s="50"/>
    </row>
    <row r="203" spans="1:40">
      <c r="A203" s="50"/>
      <c r="B203" s="50"/>
      <c r="C203" s="50"/>
      <c r="D203" s="50"/>
      <c r="E203" s="50"/>
      <c r="F203" s="50"/>
      <c r="G203" s="50"/>
      <c r="H203" s="50"/>
      <c r="I203" s="50"/>
      <c r="J203" s="50"/>
      <c r="K203" s="50"/>
      <c r="L203" s="50"/>
      <c r="M203" s="50"/>
      <c r="N203" s="50"/>
      <c r="O203" s="50"/>
      <c r="P203" s="50"/>
      <c r="Q203" s="50"/>
      <c r="R203" s="50"/>
      <c r="S203" s="50"/>
      <c r="T203" s="50"/>
      <c r="U203" s="50"/>
      <c r="V203" s="50"/>
      <c r="W203" s="50"/>
      <c r="X203" s="50"/>
      <c r="Y203" s="50"/>
      <c r="Z203" s="50"/>
      <c r="AA203" s="50"/>
      <c r="AB203" s="50"/>
      <c r="AC203" s="50"/>
      <c r="AD203" s="50"/>
      <c r="AE203" s="50"/>
      <c r="AF203" s="50"/>
      <c r="AG203" s="50"/>
      <c r="AH203" s="50"/>
      <c r="AI203" s="50"/>
      <c r="AJ203" s="50"/>
      <c r="AK203" s="50"/>
      <c r="AL203" s="50"/>
      <c r="AM203" s="50"/>
      <c r="AN203" s="50"/>
    </row>
    <row r="204" spans="1:40">
      <c r="A204" s="50"/>
      <c r="B204" s="50"/>
      <c r="C204" s="50"/>
      <c r="D204" s="50"/>
      <c r="E204" s="50"/>
      <c r="F204" s="50"/>
      <c r="G204" s="50"/>
      <c r="H204" s="50"/>
      <c r="I204" s="50"/>
      <c r="J204" s="50"/>
      <c r="K204" s="50"/>
      <c r="L204" s="50"/>
      <c r="M204" s="50"/>
      <c r="N204" s="50"/>
      <c r="O204" s="50"/>
      <c r="P204" s="50"/>
      <c r="Q204" s="50"/>
      <c r="R204" s="50"/>
      <c r="S204" s="50"/>
      <c r="T204" s="50"/>
      <c r="U204" s="50"/>
      <c r="V204" s="50"/>
      <c r="W204" s="50"/>
      <c r="X204" s="50"/>
      <c r="Y204" s="50"/>
      <c r="Z204" s="50"/>
      <c r="AA204" s="50"/>
      <c r="AB204" s="50"/>
      <c r="AC204" s="50"/>
      <c r="AD204" s="50"/>
      <c r="AE204" s="50"/>
      <c r="AF204" s="50"/>
      <c r="AG204" s="50"/>
      <c r="AH204" s="50"/>
      <c r="AI204" s="50"/>
      <c r="AJ204" s="50"/>
      <c r="AK204" s="50"/>
      <c r="AL204" s="50"/>
      <c r="AM204" s="50"/>
      <c r="AN204" s="50"/>
    </row>
    <row r="205" spans="1:40">
      <c r="A205" s="50"/>
      <c r="B205" s="50"/>
      <c r="C205" s="50"/>
      <c r="D205" s="50"/>
      <c r="E205" s="50"/>
      <c r="F205" s="50"/>
      <c r="G205" s="50"/>
      <c r="H205" s="50"/>
      <c r="I205" s="50"/>
      <c r="J205" s="50"/>
      <c r="K205" s="50"/>
      <c r="L205" s="50"/>
      <c r="M205" s="50"/>
      <c r="N205" s="50"/>
      <c r="O205" s="50"/>
      <c r="P205" s="50"/>
      <c r="Q205" s="50"/>
      <c r="R205" s="50"/>
      <c r="S205" s="50"/>
      <c r="T205" s="50"/>
      <c r="U205" s="50"/>
      <c r="V205" s="50"/>
      <c r="W205" s="50"/>
      <c r="X205" s="50"/>
      <c r="Y205" s="50"/>
      <c r="Z205" s="50"/>
      <c r="AA205" s="50"/>
      <c r="AB205" s="50"/>
      <c r="AC205" s="50"/>
      <c r="AD205" s="50"/>
      <c r="AE205" s="50"/>
      <c r="AF205" s="50"/>
      <c r="AG205" s="50"/>
      <c r="AH205" s="50"/>
      <c r="AI205" s="50"/>
      <c r="AJ205" s="50"/>
      <c r="AK205" s="50"/>
      <c r="AL205" s="50"/>
      <c r="AM205" s="50"/>
      <c r="AN205" s="50"/>
    </row>
    <row r="206" spans="1:40">
      <c r="A206" s="50"/>
      <c r="B206" s="50"/>
      <c r="C206" s="50"/>
      <c r="D206" s="50"/>
      <c r="E206" s="50"/>
      <c r="F206" s="50"/>
      <c r="G206" s="50"/>
      <c r="H206" s="50"/>
      <c r="I206" s="50"/>
      <c r="J206" s="50"/>
      <c r="K206" s="50"/>
      <c r="L206" s="50"/>
      <c r="M206" s="50"/>
      <c r="N206" s="50"/>
      <c r="O206" s="50"/>
      <c r="P206" s="50"/>
      <c r="Q206" s="50"/>
      <c r="R206" s="50"/>
      <c r="S206" s="50"/>
      <c r="T206" s="50"/>
      <c r="U206" s="50"/>
      <c r="V206" s="50"/>
      <c r="W206" s="50"/>
      <c r="X206" s="50"/>
      <c r="Y206" s="50"/>
      <c r="Z206" s="50"/>
      <c r="AA206" s="50"/>
      <c r="AB206" s="50"/>
      <c r="AC206" s="50"/>
      <c r="AD206" s="50"/>
      <c r="AE206" s="50"/>
      <c r="AF206" s="50"/>
      <c r="AG206" s="50"/>
      <c r="AH206" s="50"/>
      <c r="AI206" s="50"/>
      <c r="AJ206" s="50"/>
      <c r="AK206" s="50"/>
      <c r="AL206" s="50"/>
      <c r="AM206" s="50"/>
      <c r="AN206" s="50"/>
    </row>
    <row r="207" spans="1:40">
      <c r="A207" s="50"/>
      <c r="B207" s="50"/>
      <c r="C207" s="50"/>
      <c r="D207" s="50"/>
      <c r="E207" s="50"/>
      <c r="F207" s="50"/>
      <c r="G207" s="50"/>
      <c r="H207" s="50"/>
      <c r="I207" s="50"/>
      <c r="J207" s="50"/>
      <c r="K207" s="50"/>
      <c r="L207" s="50"/>
      <c r="M207" s="50"/>
      <c r="N207" s="50"/>
      <c r="O207" s="50"/>
      <c r="P207" s="50"/>
      <c r="Q207" s="50"/>
      <c r="R207" s="50"/>
      <c r="S207" s="50"/>
      <c r="T207" s="50"/>
      <c r="U207" s="50"/>
      <c r="V207" s="50"/>
      <c r="W207" s="50"/>
      <c r="X207" s="50"/>
      <c r="Y207" s="50"/>
      <c r="Z207" s="50"/>
      <c r="AA207" s="50"/>
      <c r="AB207" s="50"/>
      <c r="AC207" s="50"/>
      <c r="AD207" s="50"/>
      <c r="AE207" s="50"/>
      <c r="AF207" s="50"/>
      <c r="AG207" s="50"/>
      <c r="AH207" s="50"/>
      <c r="AI207" s="50"/>
      <c r="AJ207" s="50"/>
      <c r="AK207" s="50"/>
      <c r="AL207" s="50"/>
      <c r="AM207" s="50"/>
      <c r="AN207" s="50"/>
    </row>
    <row r="208" spans="1:40">
      <c r="A208" s="50"/>
      <c r="B208" s="50"/>
      <c r="C208" s="50"/>
      <c r="D208" s="50"/>
      <c r="E208" s="50"/>
      <c r="F208" s="50"/>
      <c r="G208" s="50"/>
      <c r="H208" s="50"/>
      <c r="I208" s="50"/>
      <c r="J208" s="50"/>
      <c r="K208" s="50"/>
      <c r="L208" s="50"/>
      <c r="M208" s="50"/>
      <c r="N208" s="50"/>
      <c r="O208" s="50"/>
      <c r="P208" s="50"/>
      <c r="Q208" s="50"/>
      <c r="R208" s="50"/>
      <c r="S208" s="50"/>
      <c r="T208" s="50"/>
      <c r="U208" s="50"/>
      <c r="V208" s="50"/>
      <c r="W208" s="50"/>
      <c r="X208" s="50"/>
      <c r="Y208" s="50"/>
      <c r="Z208" s="50"/>
      <c r="AA208" s="50"/>
      <c r="AB208" s="50"/>
      <c r="AC208" s="50"/>
      <c r="AD208" s="50"/>
      <c r="AE208" s="50"/>
      <c r="AF208" s="50"/>
      <c r="AG208" s="50"/>
      <c r="AH208" s="50"/>
      <c r="AI208" s="50"/>
      <c r="AJ208" s="50"/>
      <c r="AK208" s="50"/>
      <c r="AL208" s="50"/>
      <c r="AM208" s="50"/>
      <c r="AN208" s="50"/>
    </row>
    <row r="209" spans="1:40">
      <c r="A209" s="50"/>
      <c r="B209" s="50"/>
      <c r="C209" s="50"/>
      <c r="D209" s="50"/>
      <c r="E209" s="50"/>
      <c r="F209" s="50"/>
      <c r="G209" s="50"/>
      <c r="H209" s="50"/>
      <c r="I209" s="50"/>
      <c r="J209" s="50"/>
      <c r="K209" s="50"/>
      <c r="L209" s="50"/>
      <c r="M209" s="50"/>
      <c r="N209" s="50"/>
      <c r="O209" s="50"/>
      <c r="P209" s="50"/>
      <c r="Q209" s="50"/>
      <c r="R209" s="50"/>
      <c r="S209" s="50"/>
      <c r="T209" s="50"/>
      <c r="U209" s="50"/>
      <c r="V209" s="50"/>
      <c r="W209" s="50"/>
      <c r="X209" s="50"/>
      <c r="Y209" s="50"/>
      <c r="Z209" s="50"/>
      <c r="AA209" s="50"/>
      <c r="AB209" s="50"/>
      <c r="AC209" s="50"/>
      <c r="AD209" s="50"/>
      <c r="AE209" s="50"/>
      <c r="AF209" s="50"/>
      <c r="AG209" s="50"/>
      <c r="AH209" s="50"/>
      <c r="AI209" s="50"/>
      <c r="AJ209" s="50"/>
      <c r="AK209" s="50"/>
      <c r="AL209" s="50"/>
      <c r="AM209" s="50"/>
      <c r="AN209" s="50"/>
    </row>
    <row r="210" spans="1:40">
      <c r="A210" s="50"/>
      <c r="B210" s="50"/>
      <c r="C210" s="50"/>
      <c r="D210" s="50"/>
      <c r="E210" s="50"/>
      <c r="F210" s="50"/>
      <c r="G210" s="50"/>
      <c r="H210" s="50"/>
      <c r="I210" s="50"/>
      <c r="J210" s="50"/>
      <c r="K210" s="50"/>
      <c r="L210" s="50"/>
      <c r="M210" s="50"/>
      <c r="N210" s="50"/>
      <c r="O210" s="50"/>
      <c r="P210" s="50"/>
      <c r="Q210" s="50"/>
      <c r="R210" s="50"/>
      <c r="S210" s="50"/>
      <c r="T210" s="50"/>
      <c r="U210" s="50"/>
      <c r="V210" s="50"/>
      <c r="W210" s="50"/>
      <c r="X210" s="50"/>
      <c r="Y210" s="50"/>
      <c r="Z210" s="50"/>
      <c r="AA210" s="50"/>
      <c r="AB210" s="50"/>
      <c r="AC210" s="50"/>
      <c r="AD210" s="50"/>
      <c r="AE210" s="50"/>
      <c r="AF210" s="50"/>
      <c r="AG210" s="50"/>
      <c r="AH210" s="50"/>
      <c r="AI210" s="50"/>
      <c r="AJ210" s="50"/>
      <c r="AK210" s="50"/>
      <c r="AL210" s="50"/>
      <c r="AM210" s="50"/>
      <c r="AN210" s="50"/>
    </row>
    <row r="211" spans="1:40">
      <c r="A211" s="50"/>
      <c r="B211" s="50"/>
      <c r="C211" s="50"/>
      <c r="D211" s="50"/>
      <c r="E211" s="50"/>
      <c r="F211" s="50"/>
      <c r="G211" s="50"/>
      <c r="H211" s="50"/>
      <c r="I211" s="50"/>
      <c r="J211" s="50"/>
      <c r="K211" s="50"/>
      <c r="L211" s="50"/>
      <c r="M211" s="50"/>
      <c r="N211" s="50"/>
      <c r="O211" s="50"/>
      <c r="P211" s="50"/>
      <c r="Q211" s="50"/>
      <c r="R211" s="50"/>
      <c r="S211" s="50"/>
      <c r="T211" s="50"/>
      <c r="U211" s="50"/>
      <c r="V211" s="50"/>
      <c r="W211" s="50"/>
      <c r="X211" s="50"/>
      <c r="Y211" s="50"/>
      <c r="Z211" s="50"/>
      <c r="AA211" s="50"/>
      <c r="AB211" s="50"/>
      <c r="AC211" s="50"/>
      <c r="AD211" s="50"/>
      <c r="AE211" s="50"/>
      <c r="AF211" s="50"/>
      <c r="AG211" s="50"/>
      <c r="AH211" s="50"/>
      <c r="AI211" s="50"/>
      <c r="AJ211" s="50"/>
      <c r="AK211" s="50"/>
      <c r="AL211" s="50"/>
      <c r="AM211" s="50"/>
      <c r="AN211" s="50"/>
    </row>
    <row r="212" spans="1:40">
      <c r="A212" s="50"/>
      <c r="B212" s="50"/>
      <c r="C212" s="50"/>
      <c r="D212" s="50"/>
      <c r="E212" s="50"/>
      <c r="F212" s="50"/>
      <c r="G212" s="50"/>
      <c r="H212" s="50"/>
      <c r="I212" s="50"/>
      <c r="J212" s="50"/>
      <c r="K212" s="50"/>
      <c r="L212" s="50"/>
      <c r="M212" s="50"/>
      <c r="N212" s="50"/>
      <c r="O212" s="50"/>
      <c r="P212" s="50"/>
      <c r="Q212" s="50"/>
      <c r="R212" s="50"/>
      <c r="S212" s="50"/>
      <c r="T212" s="50"/>
      <c r="U212" s="50"/>
      <c r="V212" s="50"/>
      <c r="W212" s="50"/>
      <c r="X212" s="50"/>
      <c r="Y212" s="50"/>
      <c r="Z212" s="50"/>
      <c r="AA212" s="50"/>
      <c r="AB212" s="50"/>
      <c r="AC212" s="50"/>
      <c r="AD212" s="50"/>
      <c r="AE212" s="50"/>
      <c r="AF212" s="50"/>
      <c r="AG212" s="50"/>
      <c r="AH212" s="50"/>
      <c r="AI212" s="50"/>
      <c r="AJ212" s="50"/>
      <c r="AK212" s="50"/>
      <c r="AL212" s="50"/>
      <c r="AM212" s="50"/>
      <c r="AN212" s="50"/>
    </row>
    <row r="213" spans="1:40">
      <c r="A213" s="50"/>
      <c r="B213" s="50"/>
      <c r="C213" s="50"/>
      <c r="D213" s="50"/>
      <c r="E213" s="50"/>
      <c r="F213" s="50"/>
      <c r="G213" s="50"/>
      <c r="H213" s="50"/>
      <c r="I213" s="50"/>
      <c r="J213" s="50"/>
      <c r="K213" s="50"/>
      <c r="L213" s="50"/>
      <c r="M213" s="50"/>
      <c r="N213" s="50"/>
      <c r="O213" s="50"/>
      <c r="P213" s="50"/>
      <c r="Q213" s="50"/>
      <c r="R213" s="50"/>
      <c r="S213" s="50"/>
      <c r="T213" s="50"/>
      <c r="U213" s="50"/>
      <c r="V213" s="50"/>
      <c r="W213" s="50"/>
      <c r="X213" s="50"/>
      <c r="Y213" s="50"/>
      <c r="Z213" s="50"/>
      <c r="AA213" s="50"/>
      <c r="AB213" s="50"/>
      <c r="AC213" s="50"/>
      <c r="AD213" s="50"/>
      <c r="AE213" s="50"/>
      <c r="AF213" s="50"/>
      <c r="AG213" s="50"/>
      <c r="AH213" s="50"/>
      <c r="AI213" s="50"/>
      <c r="AJ213" s="50"/>
      <c r="AK213" s="50"/>
      <c r="AL213" s="50"/>
      <c r="AM213" s="50"/>
      <c r="AN213" s="50"/>
    </row>
    <row r="214" spans="1:40">
      <c r="A214" s="50"/>
      <c r="B214" s="50"/>
      <c r="C214" s="50"/>
      <c r="D214" s="50"/>
      <c r="E214" s="50"/>
      <c r="F214" s="50"/>
      <c r="G214" s="50"/>
      <c r="H214" s="50"/>
      <c r="I214" s="50"/>
      <c r="J214" s="50"/>
      <c r="K214" s="50"/>
      <c r="L214" s="50"/>
      <c r="M214" s="50"/>
      <c r="N214" s="50"/>
      <c r="O214" s="50"/>
      <c r="P214" s="50"/>
      <c r="Q214" s="50"/>
      <c r="R214" s="50"/>
      <c r="S214" s="50"/>
      <c r="T214" s="50"/>
      <c r="U214" s="50"/>
      <c r="V214" s="50"/>
      <c r="W214" s="50"/>
      <c r="X214" s="50"/>
      <c r="Y214" s="50"/>
      <c r="Z214" s="50"/>
      <c r="AA214" s="50"/>
      <c r="AB214" s="50"/>
      <c r="AC214" s="50"/>
      <c r="AD214" s="50"/>
      <c r="AE214" s="50"/>
      <c r="AF214" s="50"/>
      <c r="AG214" s="50"/>
      <c r="AH214" s="50"/>
      <c r="AI214" s="50"/>
      <c r="AJ214" s="50"/>
      <c r="AK214" s="50"/>
      <c r="AL214" s="50"/>
      <c r="AM214" s="50"/>
      <c r="AN214" s="50"/>
    </row>
    <row r="215" spans="1:40">
      <c r="A215" s="50"/>
      <c r="B215" s="50"/>
      <c r="C215" s="50"/>
      <c r="D215" s="50"/>
      <c r="E215" s="50"/>
      <c r="F215" s="50"/>
      <c r="G215" s="50"/>
      <c r="H215" s="50"/>
      <c r="I215" s="50"/>
      <c r="J215" s="50"/>
      <c r="K215" s="50"/>
      <c r="L215" s="50"/>
      <c r="M215" s="50"/>
      <c r="N215" s="50"/>
      <c r="O215" s="50"/>
      <c r="P215" s="50"/>
      <c r="Q215" s="50"/>
      <c r="R215" s="50"/>
      <c r="S215" s="50"/>
      <c r="T215" s="50"/>
      <c r="U215" s="50"/>
      <c r="V215" s="50"/>
      <c r="W215" s="50"/>
      <c r="X215" s="50"/>
      <c r="Y215" s="50"/>
      <c r="Z215" s="50"/>
      <c r="AA215" s="50"/>
      <c r="AB215" s="50"/>
      <c r="AC215" s="50"/>
      <c r="AD215" s="50"/>
      <c r="AE215" s="50"/>
      <c r="AF215" s="50"/>
      <c r="AG215" s="50"/>
      <c r="AH215" s="50"/>
      <c r="AI215" s="50"/>
      <c r="AJ215" s="50"/>
      <c r="AK215" s="50"/>
      <c r="AL215" s="50"/>
      <c r="AM215" s="50"/>
      <c r="AN215" s="50"/>
    </row>
    <row r="216" spans="1:40">
      <c r="A216" s="50"/>
      <c r="B216" s="50"/>
      <c r="C216" s="50"/>
      <c r="D216" s="50"/>
      <c r="E216" s="50"/>
      <c r="F216" s="50"/>
      <c r="G216" s="50"/>
      <c r="H216" s="50"/>
      <c r="I216" s="50"/>
      <c r="J216" s="50"/>
      <c r="K216" s="50"/>
      <c r="L216" s="50"/>
      <c r="M216" s="50"/>
      <c r="N216" s="50"/>
      <c r="O216" s="50"/>
      <c r="P216" s="50"/>
      <c r="Q216" s="50"/>
      <c r="R216" s="50"/>
      <c r="S216" s="50"/>
      <c r="T216" s="50"/>
      <c r="U216" s="50"/>
      <c r="V216" s="50"/>
      <c r="W216" s="50"/>
      <c r="X216" s="50"/>
      <c r="Y216" s="50"/>
      <c r="Z216" s="50"/>
      <c r="AA216" s="50"/>
      <c r="AB216" s="50"/>
      <c r="AC216" s="50"/>
      <c r="AD216" s="50"/>
      <c r="AE216" s="50"/>
      <c r="AF216" s="50"/>
      <c r="AG216" s="50"/>
      <c r="AH216" s="50"/>
      <c r="AI216" s="50"/>
      <c r="AJ216" s="50"/>
      <c r="AK216" s="50"/>
      <c r="AL216" s="50"/>
      <c r="AM216" s="50"/>
      <c r="AN216" s="50"/>
    </row>
    <row r="217" spans="1:40">
      <c r="A217" s="50"/>
      <c r="B217" s="50"/>
      <c r="C217" s="50"/>
      <c r="D217" s="50"/>
      <c r="E217" s="50"/>
      <c r="F217" s="50"/>
      <c r="G217" s="50"/>
      <c r="H217" s="50"/>
      <c r="I217" s="50"/>
      <c r="J217" s="50"/>
      <c r="K217" s="50"/>
      <c r="L217" s="50"/>
      <c r="M217" s="50"/>
      <c r="N217" s="50"/>
      <c r="O217" s="50"/>
      <c r="P217" s="50"/>
      <c r="Q217" s="50"/>
      <c r="R217" s="50"/>
      <c r="S217" s="50"/>
      <c r="T217" s="50"/>
      <c r="U217" s="50"/>
      <c r="V217" s="50"/>
      <c r="W217" s="50"/>
      <c r="X217" s="50"/>
      <c r="Y217" s="50"/>
      <c r="Z217" s="50"/>
      <c r="AA217" s="50"/>
      <c r="AB217" s="50"/>
      <c r="AC217" s="50"/>
      <c r="AD217" s="50"/>
      <c r="AE217" s="50"/>
      <c r="AF217" s="50"/>
      <c r="AG217" s="50"/>
      <c r="AH217" s="50"/>
      <c r="AI217" s="50"/>
      <c r="AJ217" s="50"/>
      <c r="AK217" s="50"/>
      <c r="AL217" s="50"/>
      <c r="AM217" s="50"/>
      <c r="AN217" s="50"/>
    </row>
    <row r="218" spans="1:40">
      <c r="A218" s="50"/>
      <c r="B218" s="50"/>
      <c r="C218" s="50"/>
      <c r="D218" s="50"/>
      <c r="E218" s="50"/>
      <c r="F218" s="50"/>
      <c r="G218" s="50"/>
      <c r="H218" s="50"/>
      <c r="I218" s="50"/>
      <c r="J218" s="50"/>
      <c r="K218" s="50"/>
      <c r="L218" s="50"/>
      <c r="M218" s="50"/>
      <c r="N218" s="50"/>
      <c r="O218" s="50"/>
      <c r="P218" s="50"/>
      <c r="Q218" s="50"/>
      <c r="R218" s="50"/>
      <c r="S218" s="50"/>
      <c r="T218" s="50"/>
      <c r="U218" s="50"/>
      <c r="V218" s="50"/>
      <c r="W218" s="50"/>
      <c r="X218" s="50"/>
      <c r="Y218" s="50"/>
      <c r="Z218" s="50"/>
      <c r="AA218" s="50"/>
      <c r="AB218" s="50"/>
      <c r="AC218" s="50"/>
      <c r="AD218" s="50"/>
      <c r="AE218" s="50"/>
      <c r="AF218" s="50"/>
      <c r="AG218" s="50"/>
      <c r="AH218" s="50"/>
      <c r="AI218" s="50"/>
      <c r="AJ218" s="50"/>
      <c r="AK218" s="50"/>
      <c r="AL218" s="50"/>
      <c r="AM218" s="50"/>
      <c r="AN218" s="50"/>
    </row>
    <row r="219" spans="1:40">
      <c r="A219" s="50"/>
      <c r="B219" s="50"/>
      <c r="C219" s="50"/>
      <c r="D219" s="50"/>
      <c r="E219" s="50"/>
      <c r="F219" s="50"/>
      <c r="G219" s="50"/>
      <c r="H219" s="50"/>
      <c r="I219" s="50"/>
      <c r="J219" s="50"/>
      <c r="K219" s="50"/>
      <c r="L219" s="50"/>
      <c r="M219" s="50"/>
      <c r="N219" s="50"/>
      <c r="O219" s="50"/>
      <c r="P219" s="50"/>
      <c r="Q219" s="50"/>
      <c r="R219" s="50"/>
      <c r="S219" s="50"/>
      <c r="T219" s="50"/>
      <c r="U219" s="50"/>
      <c r="V219" s="50"/>
      <c r="W219" s="50"/>
      <c r="X219" s="50"/>
      <c r="Y219" s="50"/>
      <c r="Z219" s="50"/>
      <c r="AA219" s="50"/>
      <c r="AB219" s="50"/>
      <c r="AC219" s="50"/>
      <c r="AD219" s="50"/>
      <c r="AE219" s="50"/>
      <c r="AF219" s="50"/>
      <c r="AG219" s="50"/>
      <c r="AH219" s="50"/>
      <c r="AI219" s="50"/>
      <c r="AJ219" s="50"/>
      <c r="AK219" s="50"/>
      <c r="AL219" s="50"/>
      <c r="AM219" s="50"/>
      <c r="AN219" s="50"/>
    </row>
    <row r="220" spans="1:40">
      <c r="A220" s="50"/>
      <c r="B220" s="50"/>
      <c r="C220" s="50"/>
      <c r="D220" s="50"/>
      <c r="E220" s="50"/>
      <c r="F220" s="50"/>
      <c r="G220" s="50"/>
      <c r="H220" s="50"/>
      <c r="I220" s="50"/>
      <c r="J220" s="50"/>
      <c r="K220" s="50"/>
      <c r="L220" s="50"/>
      <c r="M220" s="50"/>
      <c r="N220" s="50"/>
      <c r="O220" s="50"/>
      <c r="P220" s="50"/>
      <c r="Q220" s="50"/>
      <c r="R220" s="50"/>
      <c r="S220" s="50"/>
      <c r="T220" s="50"/>
      <c r="U220" s="50"/>
      <c r="V220" s="50"/>
      <c r="W220" s="50"/>
      <c r="X220" s="50"/>
      <c r="Y220" s="50"/>
      <c r="Z220" s="50"/>
      <c r="AA220" s="50"/>
      <c r="AB220" s="50"/>
      <c r="AC220" s="50"/>
      <c r="AD220" s="50"/>
      <c r="AE220" s="50"/>
      <c r="AF220" s="50"/>
      <c r="AG220" s="50"/>
      <c r="AH220" s="50"/>
      <c r="AI220" s="50"/>
      <c r="AJ220" s="50"/>
      <c r="AK220" s="50"/>
      <c r="AL220" s="50"/>
      <c r="AM220" s="50"/>
      <c r="AN220" s="50"/>
    </row>
    <row r="221" spans="1:40">
      <c r="A221" s="50"/>
      <c r="B221" s="50"/>
      <c r="C221" s="50"/>
      <c r="D221" s="50"/>
      <c r="E221" s="50"/>
      <c r="F221" s="50"/>
      <c r="G221" s="50"/>
      <c r="H221" s="50"/>
      <c r="I221" s="50"/>
      <c r="J221" s="50"/>
      <c r="K221" s="50"/>
      <c r="L221" s="50"/>
      <c r="M221" s="50"/>
      <c r="N221" s="50"/>
      <c r="O221" s="50"/>
      <c r="P221" s="50"/>
      <c r="Q221" s="50"/>
      <c r="R221" s="50"/>
      <c r="S221" s="50"/>
      <c r="T221" s="50"/>
      <c r="U221" s="50"/>
      <c r="V221" s="50"/>
      <c r="W221" s="50"/>
      <c r="X221" s="50"/>
      <c r="Y221" s="50"/>
      <c r="Z221" s="50"/>
      <c r="AA221" s="50"/>
      <c r="AB221" s="50"/>
      <c r="AC221" s="50"/>
      <c r="AD221" s="50"/>
      <c r="AE221" s="50"/>
      <c r="AF221" s="50"/>
      <c r="AG221" s="50"/>
      <c r="AH221" s="50"/>
      <c r="AI221" s="50"/>
      <c r="AJ221" s="50"/>
      <c r="AK221" s="50"/>
      <c r="AL221" s="50"/>
      <c r="AM221" s="50"/>
      <c r="AN221" s="50"/>
    </row>
    <row r="222" spans="1:40">
      <c r="A222" s="50"/>
      <c r="B222" s="50"/>
      <c r="C222" s="50"/>
      <c r="D222" s="50"/>
      <c r="E222" s="50"/>
      <c r="F222" s="50"/>
      <c r="G222" s="50"/>
      <c r="H222" s="50"/>
      <c r="I222" s="50"/>
      <c r="J222" s="50"/>
      <c r="K222" s="50"/>
      <c r="L222" s="50"/>
      <c r="M222" s="50"/>
      <c r="N222" s="50"/>
      <c r="O222" s="50"/>
      <c r="P222" s="50"/>
      <c r="Q222" s="50"/>
      <c r="R222" s="50"/>
      <c r="S222" s="50"/>
      <c r="T222" s="50"/>
      <c r="U222" s="50"/>
      <c r="V222" s="50"/>
      <c r="W222" s="50"/>
      <c r="X222" s="50"/>
      <c r="Y222" s="50"/>
      <c r="Z222" s="50"/>
      <c r="AA222" s="50"/>
      <c r="AB222" s="50"/>
      <c r="AC222" s="50"/>
      <c r="AD222" s="50"/>
      <c r="AE222" s="50"/>
      <c r="AF222" s="50"/>
      <c r="AG222" s="50"/>
      <c r="AH222" s="50"/>
      <c r="AI222" s="50"/>
      <c r="AJ222" s="50"/>
      <c r="AK222" s="50"/>
      <c r="AL222" s="50"/>
      <c r="AM222" s="50"/>
      <c r="AN222" s="50"/>
    </row>
    <row r="223" spans="1:40">
      <c r="A223" s="50"/>
      <c r="B223" s="50"/>
      <c r="C223" s="50"/>
      <c r="D223" s="50"/>
      <c r="E223" s="50"/>
      <c r="F223" s="50"/>
      <c r="G223" s="50"/>
      <c r="H223" s="50"/>
      <c r="I223" s="50"/>
      <c r="J223" s="50"/>
      <c r="K223" s="50"/>
      <c r="L223" s="50"/>
      <c r="M223" s="50"/>
      <c r="N223" s="50"/>
      <c r="O223" s="50"/>
      <c r="P223" s="50"/>
      <c r="Q223" s="50"/>
      <c r="R223" s="50"/>
      <c r="S223" s="50"/>
      <c r="T223" s="50"/>
      <c r="U223" s="50"/>
      <c r="V223" s="50"/>
      <c r="W223" s="50"/>
      <c r="X223" s="50"/>
      <c r="Y223" s="50"/>
      <c r="Z223" s="50"/>
      <c r="AA223" s="50"/>
      <c r="AB223" s="50"/>
      <c r="AC223" s="50"/>
      <c r="AD223" s="50"/>
      <c r="AE223" s="50"/>
      <c r="AF223" s="50"/>
      <c r="AG223" s="50"/>
      <c r="AH223" s="50"/>
      <c r="AI223" s="50"/>
      <c r="AJ223" s="50"/>
      <c r="AK223" s="50"/>
      <c r="AL223" s="50"/>
      <c r="AM223" s="50"/>
      <c r="AN223" s="50"/>
    </row>
    <row r="224" spans="1:40">
      <c r="A224" s="50"/>
      <c r="B224" s="50"/>
      <c r="C224" s="50"/>
      <c r="D224" s="50"/>
      <c r="E224" s="50"/>
      <c r="F224" s="50"/>
      <c r="G224" s="50"/>
      <c r="H224" s="50"/>
      <c r="I224" s="50"/>
      <c r="J224" s="50"/>
      <c r="K224" s="50"/>
      <c r="L224" s="50"/>
      <c r="M224" s="50"/>
      <c r="N224" s="50"/>
      <c r="O224" s="50"/>
      <c r="P224" s="50"/>
      <c r="Q224" s="50"/>
      <c r="R224" s="50"/>
      <c r="S224" s="50"/>
      <c r="T224" s="50"/>
      <c r="U224" s="50"/>
      <c r="V224" s="50"/>
      <c r="W224" s="50"/>
      <c r="X224" s="50"/>
      <c r="Y224" s="50"/>
      <c r="Z224" s="50"/>
      <c r="AA224" s="50"/>
      <c r="AB224" s="50"/>
      <c r="AC224" s="50"/>
      <c r="AD224" s="50"/>
      <c r="AE224" s="50"/>
      <c r="AF224" s="50"/>
      <c r="AG224" s="50"/>
      <c r="AH224" s="50"/>
      <c r="AI224" s="50"/>
      <c r="AJ224" s="50"/>
      <c r="AK224" s="50"/>
      <c r="AL224" s="50"/>
      <c r="AM224" s="50"/>
      <c r="AN224" s="50"/>
    </row>
    <row r="225" spans="1:40">
      <c r="A225" s="50"/>
      <c r="B225" s="50"/>
      <c r="C225" s="50"/>
      <c r="D225" s="50"/>
      <c r="E225" s="50"/>
      <c r="F225" s="50"/>
      <c r="G225" s="50"/>
      <c r="H225" s="50"/>
      <c r="I225" s="50"/>
      <c r="J225" s="50"/>
      <c r="K225" s="50"/>
      <c r="L225" s="50"/>
      <c r="M225" s="50"/>
      <c r="N225" s="50"/>
      <c r="O225" s="50"/>
      <c r="P225" s="50"/>
      <c r="Q225" s="50"/>
      <c r="R225" s="50"/>
      <c r="S225" s="50"/>
      <c r="T225" s="50"/>
      <c r="U225" s="50"/>
      <c r="V225" s="50"/>
      <c r="W225" s="50"/>
      <c r="X225" s="50"/>
      <c r="Y225" s="50"/>
      <c r="Z225" s="50"/>
      <c r="AA225" s="50"/>
      <c r="AB225" s="50"/>
      <c r="AC225" s="50"/>
      <c r="AD225" s="50"/>
      <c r="AE225" s="50"/>
      <c r="AF225" s="50"/>
      <c r="AG225" s="50"/>
      <c r="AH225" s="50"/>
      <c r="AI225" s="50"/>
      <c r="AJ225" s="50"/>
      <c r="AK225" s="50"/>
      <c r="AL225" s="50"/>
      <c r="AM225" s="50"/>
      <c r="AN225" s="50"/>
    </row>
    <row r="226" spans="1:40">
      <c r="A226" s="50"/>
      <c r="B226" s="50"/>
      <c r="C226" s="50"/>
      <c r="D226" s="50"/>
      <c r="E226" s="50"/>
      <c r="F226" s="50"/>
      <c r="G226" s="50"/>
      <c r="H226" s="50"/>
      <c r="I226" s="50"/>
      <c r="J226" s="50"/>
      <c r="K226" s="50"/>
      <c r="L226" s="50"/>
      <c r="M226" s="50"/>
      <c r="N226" s="50"/>
      <c r="O226" s="50"/>
      <c r="P226" s="50"/>
      <c r="Q226" s="50"/>
      <c r="R226" s="50"/>
      <c r="S226" s="50"/>
      <c r="T226" s="50"/>
      <c r="U226" s="50"/>
      <c r="V226" s="50"/>
      <c r="W226" s="50"/>
      <c r="X226" s="50"/>
      <c r="Y226" s="50"/>
      <c r="Z226" s="50"/>
      <c r="AA226" s="50"/>
      <c r="AB226" s="50"/>
      <c r="AC226" s="50"/>
      <c r="AD226" s="50"/>
      <c r="AE226" s="50"/>
      <c r="AF226" s="50"/>
      <c r="AG226" s="50"/>
      <c r="AH226" s="50"/>
      <c r="AI226" s="50"/>
      <c r="AJ226" s="50"/>
      <c r="AK226" s="50"/>
      <c r="AL226" s="50"/>
      <c r="AM226" s="50"/>
      <c r="AN226" s="50"/>
    </row>
    <row r="227" spans="1:40">
      <c r="A227" s="50"/>
      <c r="B227" s="50"/>
      <c r="C227" s="50"/>
      <c r="D227" s="50"/>
      <c r="E227" s="50"/>
      <c r="F227" s="50"/>
      <c r="G227" s="50"/>
      <c r="H227" s="50"/>
      <c r="I227" s="50"/>
      <c r="J227" s="50"/>
      <c r="K227" s="50"/>
      <c r="L227" s="50"/>
      <c r="M227" s="50"/>
      <c r="N227" s="50"/>
      <c r="O227" s="50"/>
      <c r="P227" s="50"/>
      <c r="Q227" s="50"/>
      <c r="R227" s="50"/>
      <c r="S227" s="50"/>
      <c r="T227" s="50"/>
      <c r="U227" s="50"/>
      <c r="V227" s="50"/>
      <c r="W227" s="50"/>
      <c r="X227" s="50"/>
      <c r="Y227" s="50"/>
      <c r="Z227" s="50"/>
      <c r="AA227" s="50"/>
      <c r="AB227" s="50"/>
      <c r="AC227" s="50"/>
      <c r="AD227" s="50"/>
      <c r="AE227" s="50"/>
      <c r="AF227" s="50"/>
      <c r="AG227" s="50"/>
      <c r="AH227" s="50"/>
      <c r="AI227" s="50"/>
      <c r="AJ227" s="50"/>
      <c r="AK227" s="50"/>
      <c r="AL227" s="50"/>
      <c r="AM227" s="50"/>
      <c r="AN227" s="50"/>
    </row>
    <row r="228" spans="1:40">
      <c r="A228" s="50"/>
      <c r="B228" s="50"/>
      <c r="C228" s="50"/>
      <c r="D228" s="50"/>
      <c r="E228" s="50"/>
      <c r="F228" s="50"/>
      <c r="G228" s="50"/>
      <c r="H228" s="50"/>
      <c r="I228" s="50"/>
      <c r="J228" s="50"/>
      <c r="K228" s="50"/>
      <c r="L228" s="50"/>
      <c r="M228" s="50"/>
      <c r="N228" s="50"/>
      <c r="O228" s="50"/>
      <c r="P228" s="50"/>
      <c r="Q228" s="50"/>
      <c r="R228" s="50"/>
      <c r="S228" s="50"/>
      <c r="T228" s="50"/>
      <c r="U228" s="50"/>
      <c r="V228" s="50"/>
      <c r="W228" s="50"/>
      <c r="X228" s="50"/>
      <c r="Y228" s="50"/>
      <c r="Z228" s="50"/>
      <c r="AA228" s="50"/>
      <c r="AB228" s="50"/>
      <c r="AC228" s="50"/>
      <c r="AD228" s="50"/>
      <c r="AE228" s="50"/>
      <c r="AF228" s="50"/>
      <c r="AG228" s="50"/>
      <c r="AH228" s="50"/>
      <c r="AI228" s="50"/>
      <c r="AJ228" s="50"/>
      <c r="AK228" s="50"/>
      <c r="AL228" s="50"/>
      <c r="AM228" s="50"/>
      <c r="AN228" s="50"/>
    </row>
    <row r="229" spans="1:40">
      <c r="A229" s="50"/>
      <c r="B229" s="50"/>
      <c r="C229" s="50"/>
      <c r="D229" s="50"/>
      <c r="E229" s="50"/>
      <c r="F229" s="50"/>
      <c r="G229" s="50"/>
      <c r="H229" s="50"/>
      <c r="I229" s="50"/>
      <c r="J229" s="50"/>
      <c r="K229" s="50"/>
      <c r="L229" s="50"/>
      <c r="M229" s="50"/>
      <c r="N229" s="50"/>
      <c r="O229" s="50"/>
      <c r="P229" s="50"/>
      <c r="Q229" s="50"/>
      <c r="R229" s="50"/>
      <c r="S229" s="50"/>
      <c r="T229" s="50"/>
      <c r="U229" s="50"/>
      <c r="V229" s="50"/>
      <c r="W229" s="50"/>
      <c r="X229" s="50"/>
      <c r="Y229" s="50"/>
      <c r="Z229" s="50"/>
      <c r="AA229" s="50"/>
      <c r="AB229" s="50"/>
      <c r="AC229" s="50"/>
      <c r="AD229" s="50"/>
      <c r="AE229" s="50"/>
      <c r="AF229" s="50"/>
      <c r="AG229" s="50"/>
      <c r="AH229" s="50"/>
      <c r="AI229" s="50"/>
      <c r="AJ229" s="50"/>
      <c r="AK229" s="50"/>
      <c r="AL229" s="50"/>
      <c r="AM229" s="50"/>
      <c r="AN229" s="50"/>
    </row>
    <row r="230" spans="1:40">
      <c r="A230" s="50"/>
      <c r="B230" s="50"/>
      <c r="C230" s="50"/>
      <c r="D230" s="50"/>
      <c r="E230" s="50"/>
      <c r="F230" s="50"/>
      <c r="G230" s="50"/>
      <c r="H230" s="50"/>
      <c r="I230" s="50"/>
      <c r="J230" s="50"/>
      <c r="K230" s="50"/>
      <c r="L230" s="50"/>
      <c r="M230" s="50"/>
      <c r="N230" s="50"/>
      <c r="O230" s="50"/>
      <c r="P230" s="50"/>
      <c r="Q230" s="50"/>
      <c r="R230" s="50"/>
      <c r="S230" s="50"/>
      <c r="T230" s="50"/>
      <c r="U230" s="50"/>
      <c r="V230" s="50"/>
      <c r="W230" s="50"/>
      <c r="X230" s="50"/>
      <c r="Y230" s="50"/>
      <c r="Z230" s="50"/>
      <c r="AA230" s="50"/>
      <c r="AB230" s="50"/>
      <c r="AC230" s="50"/>
      <c r="AD230" s="50"/>
      <c r="AE230" s="50"/>
      <c r="AF230" s="50"/>
      <c r="AG230" s="50"/>
      <c r="AH230" s="50"/>
      <c r="AI230" s="50"/>
      <c r="AJ230" s="50"/>
      <c r="AK230" s="50"/>
      <c r="AL230" s="50"/>
      <c r="AM230" s="50"/>
      <c r="AN230" s="50"/>
    </row>
    <row r="231" spans="1:40">
      <c r="A231" s="50"/>
      <c r="B231" s="50"/>
      <c r="C231" s="50"/>
      <c r="D231" s="50"/>
      <c r="E231" s="50"/>
      <c r="F231" s="50"/>
      <c r="G231" s="50"/>
      <c r="H231" s="50"/>
      <c r="I231" s="50"/>
      <c r="J231" s="50"/>
      <c r="K231" s="50"/>
      <c r="L231" s="50"/>
      <c r="M231" s="50"/>
      <c r="N231" s="50"/>
      <c r="O231" s="50"/>
      <c r="P231" s="50"/>
      <c r="Q231" s="50"/>
      <c r="R231" s="50"/>
      <c r="S231" s="50"/>
      <c r="T231" s="50"/>
      <c r="U231" s="50"/>
      <c r="V231" s="50"/>
      <c r="W231" s="50"/>
      <c r="X231" s="50"/>
      <c r="Y231" s="50"/>
      <c r="Z231" s="50"/>
      <c r="AA231" s="50"/>
      <c r="AB231" s="50"/>
      <c r="AC231" s="50"/>
      <c r="AD231" s="50"/>
      <c r="AE231" s="50"/>
      <c r="AF231" s="50"/>
      <c r="AG231" s="50"/>
      <c r="AH231" s="50"/>
      <c r="AI231" s="50"/>
      <c r="AJ231" s="50"/>
      <c r="AK231" s="50"/>
      <c r="AL231" s="50"/>
      <c r="AM231" s="50"/>
      <c r="AN231" s="50"/>
    </row>
    <row r="232" spans="1:40">
      <c r="A232" s="50"/>
      <c r="B232" s="50"/>
      <c r="C232" s="50"/>
      <c r="D232" s="50"/>
      <c r="E232" s="50"/>
      <c r="F232" s="50"/>
      <c r="G232" s="50"/>
      <c r="H232" s="50"/>
      <c r="I232" s="50"/>
      <c r="J232" s="50"/>
      <c r="K232" s="50"/>
      <c r="L232" s="50"/>
      <c r="M232" s="50"/>
      <c r="N232" s="50"/>
      <c r="O232" s="50"/>
      <c r="P232" s="50"/>
      <c r="Q232" s="50"/>
      <c r="R232" s="50"/>
      <c r="S232" s="50"/>
      <c r="T232" s="50"/>
      <c r="U232" s="50"/>
      <c r="V232" s="50"/>
      <c r="W232" s="50"/>
      <c r="X232" s="50"/>
      <c r="Y232" s="50"/>
      <c r="Z232" s="50"/>
      <c r="AA232" s="50"/>
      <c r="AB232" s="50"/>
      <c r="AC232" s="50"/>
      <c r="AD232" s="50"/>
      <c r="AE232" s="50"/>
      <c r="AF232" s="50"/>
      <c r="AG232" s="50"/>
      <c r="AH232" s="50"/>
      <c r="AI232" s="50"/>
      <c r="AJ232" s="50"/>
      <c r="AK232" s="50"/>
      <c r="AL232" s="50"/>
      <c r="AM232" s="50"/>
      <c r="AN232" s="50"/>
    </row>
    <row r="233" spans="1:40">
      <c r="A233" s="50"/>
      <c r="B233" s="50"/>
      <c r="C233" s="50"/>
      <c r="D233" s="50"/>
      <c r="E233" s="50"/>
      <c r="F233" s="50"/>
      <c r="G233" s="50"/>
      <c r="H233" s="50"/>
      <c r="I233" s="50"/>
      <c r="J233" s="50"/>
      <c r="K233" s="50"/>
      <c r="L233" s="50"/>
      <c r="M233" s="50"/>
      <c r="N233" s="50"/>
      <c r="O233" s="50"/>
      <c r="P233" s="50"/>
      <c r="Q233" s="50"/>
      <c r="R233" s="50"/>
      <c r="S233" s="50"/>
      <c r="T233" s="50"/>
      <c r="U233" s="50"/>
      <c r="V233" s="50"/>
      <c r="W233" s="50"/>
      <c r="X233" s="50"/>
      <c r="Y233" s="50"/>
      <c r="Z233" s="50"/>
      <c r="AA233" s="50"/>
      <c r="AB233" s="50"/>
      <c r="AC233" s="50"/>
      <c r="AD233" s="50"/>
      <c r="AE233" s="50"/>
      <c r="AF233" s="50"/>
      <c r="AG233" s="50"/>
      <c r="AH233" s="50"/>
      <c r="AI233" s="50"/>
      <c r="AJ233" s="50"/>
      <c r="AK233" s="50"/>
      <c r="AL233" s="50"/>
      <c r="AM233" s="50"/>
      <c r="AN233" s="50"/>
    </row>
    <row r="234" spans="1:40">
      <c r="A234" s="50"/>
      <c r="B234" s="50"/>
      <c r="C234" s="50"/>
      <c r="D234" s="50"/>
      <c r="E234" s="50"/>
      <c r="F234" s="50"/>
      <c r="G234" s="50"/>
      <c r="H234" s="50"/>
      <c r="I234" s="50"/>
      <c r="J234" s="50"/>
      <c r="K234" s="50"/>
      <c r="L234" s="50"/>
      <c r="M234" s="50"/>
      <c r="N234" s="50"/>
      <c r="O234" s="50"/>
      <c r="P234" s="50"/>
      <c r="Q234" s="50"/>
      <c r="R234" s="50"/>
      <c r="S234" s="50"/>
      <c r="T234" s="50"/>
      <c r="U234" s="50"/>
      <c r="V234" s="50"/>
      <c r="W234" s="50"/>
      <c r="X234" s="50"/>
      <c r="Y234" s="50"/>
      <c r="Z234" s="50"/>
      <c r="AA234" s="50"/>
      <c r="AB234" s="50"/>
      <c r="AC234" s="50"/>
      <c r="AD234" s="50"/>
      <c r="AE234" s="50"/>
      <c r="AF234" s="50"/>
      <c r="AG234" s="50"/>
      <c r="AH234" s="50"/>
      <c r="AI234" s="50"/>
      <c r="AJ234" s="50"/>
      <c r="AK234" s="50"/>
      <c r="AL234" s="50"/>
      <c r="AM234" s="50"/>
      <c r="AN234" s="50"/>
    </row>
    <row r="235" spans="1:40">
      <c r="A235" s="50"/>
      <c r="B235" s="50"/>
      <c r="C235" s="50"/>
      <c r="D235" s="50"/>
      <c r="E235" s="50"/>
      <c r="F235" s="50"/>
      <c r="G235" s="50"/>
      <c r="H235" s="50"/>
      <c r="I235" s="50"/>
      <c r="J235" s="50"/>
      <c r="K235" s="50"/>
      <c r="L235" s="50"/>
      <c r="M235" s="50"/>
      <c r="N235" s="50"/>
      <c r="O235" s="50"/>
      <c r="P235" s="50"/>
      <c r="Q235" s="50"/>
      <c r="R235" s="50"/>
      <c r="S235" s="50"/>
      <c r="T235" s="50"/>
      <c r="U235" s="50"/>
      <c r="V235" s="50"/>
      <c r="W235" s="50"/>
      <c r="X235" s="50"/>
      <c r="Y235" s="50"/>
      <c r="Z235" s="50"/>
      <c r="AA235" s="50"/>
      <c r="AB235" s="50"/>
      <c r="AC235" s="50"/>
      <c r="AD235" s="50"/>
      <c r="AE235" s="50"/>
      <c r="AF235" s="50"/>
      <c r="AG235" s="50"/>
      <c r="AH235" s="50"/>
      <c r="AI235" s="50"/>
      <c r="AJ235" s="50"/>
      <c r="AK235" s="50"/>
      <c r="AL235" s="50"/>
      <c r="AM235" s="50"/>
      <c r="AN235" s="50"/>
    </row>
    <row r="236" spans="1:40">
      <c r="A236" s="50"/>
      <c r="B236" s="50"/>
      <c r="C236" s="50"/>
      <c r="D236" s="50"/>
      <c r="E236" s="50"/>
      <c r="F236" s="50"/>
      <c r="G236" s="50"/>
      <c r="H236" s="50"/>
      <c r="I236" s="50"/>
      <c r="J236" s="50"/>
      <c r="K236" s="50"/>
      <c r="L236" s="50"/>
      <c r="M236" s="50"/>
      <c r="N236" s="50"/>
      <c r="O236" s="50"/>
      <c r="P236" s="50"/>
      <c r="Q236" s="50"/>
      <c r="R236" s="50"/>
      <c r="S236" s="50"/>
      <c r="T236" s="50"/>
      <c r="U236" s="50"/>
      <c r="V236" s="50"/>
      <c r="W236" s="50"/>
      <c r="X236" s="50"/>
      <c r="Y236" s="50"/>
      <c r="Z236" s="50"/>
      <c r="AA236" s="50"/>
      <c r="AB236" s="50"/>
      <c r="AC236" s="50"/>
      <c r="AD236" s="50"/>
      <c r="AE236" s="50"/>
      <c r="AF236" s="50"/>
      <c r="AG236" s="50"/>
      <c r="AH236" s="50"/>
      <c r="AI236" s="50"/>
      <c r="AJ236" s="50"/>
      <c r="AK236" s="50"/>
      <c r="AL236" s="50"/>
      <c r="AM236" s="50"/>
      <c r="AN236" s="50"/>
    </row>
    <row r="237" spans="1:40">
      <c r="A237" s="50"/>
      <c r="B237" s="50"/>
      <c r="C237" s="50"/>
      <c r="D237" s="50"/>
      <c r="E237" s="50"/>
      <c r="F237" s="50"/>
      <c r="G237" s="50"/>
      <c r="H237" s="50"/>
      <c r="I237" s="50"/>
      <c r="J237" s="50"/>
      <c r="K237" s="50"/>
      <c r="L237" s="50"/>
      <c r="M237" s="50"/>
      <c r="N237" s="50"/>
      <c r="O237" s="50"/>
      <c r="P237" s="50"/>
      <c r="Q237" s="50"/>
      <c r="R237" s="50"/>
      <c r="S237" s="50"/>
      <c r="T237" s="50"/>
      <c r="U237" s="50"/>
      <c r="V237" s="50"/>
      <c r="W237" s="50"/>
      <c r="X237" s="50"/>
      <c r="Y237" s="50"/>
      <c r="Z237" s="50"/>
      <c r="AA237" s="50"/>
      <c r="AB237" s="50"/>
      <c r="AC237" s="50"/>
      <c r="AD237" s="50"/>
      <c r="AE237" s="50"/>
      <c r="AF237" s="50"/>
      <c r="AG237" s="50"/>
      <c r="AH237" s="50"/>
      <c r="AI237" s="50"/>
      <c r="AJ237" s="50"/>
      <c r="AK237" s="50"/>
      <c r="AL237" s="50"/>
      <c r="AM237" s="50"/>
      <c r="AN237" s="50"/>
    </row>
    <row r="238" spans="1:40">
      <c r="A238" s="50"/>
      <c r="B238" s="50"/>
      <c r="C238" s="50"/>
      <c r="D238" s="50"/>
      <c r="E238" s="50"/>
      <c r="F238" s="50"/>
      <c r="G238" s="50"/>
      <c r="H238" s="50"/>
      <c r="I238" s="50"/>
      <c r="J238" s="50"/>
      <c r="K238" s="50"/>
      <c r="L238" s="50"/>
      <c r="M238" s="50"/>
      <c r="N238" s="50"/>
      <c r="O238" s="50"/>
      <c r="P238" s="50"/>
      <c r="Q238" s="50"/>
      <c r="R238" s="50"/>
      <c r="S238" s="50"/>
      <c r="T238" s="50"/>
      <c r="U238" s="50"/>
      <c r="V238" s="50"/>
      <c r="W238" s="50"/>
      <c r="X238" s="50"/>
      <c r="Y238" s="50"/>
      <c r="Z238" s="50"/>
      <c r="AA238" s="50"/>
      <c r="AB238" s="50"/>
      <c r="AC238" s="50"/>
      <c r="AD238" s="50"/>
      <c r="AE238" s="50"/>
      <c r="AF238" s="50"/>
      <c r="AG238" s="50"/>
      <c r="AH238" s="50"/>
      <c r="AI238" s="50"/>
      <c r="AJ238" s="50"/>
      <c r="AK238" s="50"/>
      <c r="AL238" s="50"/>
      <c r="AM238" s="50"/>
      <c r="AN238" s="50"/>
    </row>
    <row r="239" spans="1:40">
      <c r="A239" s="50"/>
      <c r="B239" s="50"/>
      <c r="C239" s="50"/>
      <c r="D239" s="50"/>
      <c r="E239" s="50"/>
      <c r="F239" s="50"/>
      <c r="G239" s="50"/>
      <c r="H239" s="50"/>
      <c r="I239" s="50"/>
      <c r="J239" s="50"/>
      <c r="K239" s="50"/>
      <c r="L239" s="50"/>
      <c r="M239" s="50"/>
      <c r="N239" s="50"/>
      <c r="O239" s="50"/>
      <c r="P239" s="50"/>
      <c r="Q239" s="50"/>
      <c r="R239" s="50"/>
      <c r="S239" s="50"/>
      <c r="T239" s="50"/>
      <c r="U239" s="50"/>
      <c r="V239" s="50"/>
      <c r="W239" s="50"/>
      <c r="X239" s="50"/>
      <c r="Y239" s="50"/>
      <c r="Z239" s="50"/>
      <c r="AA239" s="50"/>
      <c r="AB239" s="50"/>
      <c r="AC239" s="50"/>
      <c r="AD239" s="50"/>
      <c r="AE239" s="50"/>
      <c r="AF239" s="50"/>
      <c r="AG239" s="50"/>
      <c r="AH239" s="50"/>
      <c r="AI239" s="50"/>
      <c r="AJ239" s="50"/>
      <c r="AK239" s="50"/>
      <c r="AL239" s="50"/>
      <c r="AM239" s="50"/>
      <c r="AN239" s="50"/>
    </row>
    <row r="240" spans="1:40">
      <c r="A240" s="50"/>
      <c r="B240" s="50"/>
      <c r="C240" s="50"/>
      <c r="D240" s="50"/>
      <c r="E240" s="50"/>
      <c r="F240" s="50"/>
      <c r="G240" s="50"/>
      <c r="H240" s="50"/>
      <c r="I240" s="50"/>
      <c r="J240" s="50"/>
      <c r="K240" s="50"/>
      <c r="L240" s="50"/>
      <c r="M240" s="50"/>
      <c r="N240" s="50"/>
      <c r="O240" s="50"/>
      <c r="P240" s="50"/>
      <c r="Q240" s="50"/>
      <c r="R240" s="50"/>
      <c r="S240" s="50"/>
      <c r="T240" s="50"/>
      <c r="U240" s="50"/>
      <c r="V240" s="50"/>
      <c r="W240" s="50"/>
      <c r="X240" s="50"/>
      <c r="Y240" s="50"/>
      <c r="Z240" s="50"/>
      <c r="AA240" s="50"/>
      <c r="AB240" s="50"/>
      <c r="AC240" s="50"/>
      <c r="AD240" s="50"/>
      <c r="AE240" s="50"/>
      <c r="AF240" s="50"/>
      <c r="AG240" s="50"/>
      <c r="AH240" s="50"/>
      <c r="AI240" s="50"/>
      <c r="AJ240" s="50"/>
      <c r="AK240" s="50"/>
      <c r="AL240" s="50"/>
      <c r="AM240" s="50"/>
      <c r="AN240" s="50"/>
    </row>
    <row r="241" spans="1:40">
      <c r="A241" s="50"/>
      <c r="B241" s="50"/>
      <c r="C241" s="50"/>
      <c r="D241" s="50"/>
      <c r="E241" s="50"/>
      <c r="F241" s="50"/>
      <c r="G241" s="50"/>
      <c r="H241" s="50"/>
      <c r="I241" s="50"/>
      <c r="J241" s="50"/>
      <c r="K241" s="50"/>
      <c r="L241" s="50"/>
      <c r="M241" s="50"/>
      <c r="N241" s="50"/>
      <c r="O241" s="50"/>
      <c r="P241" s="50"/>
      <c r="Q241" s="50"/>
      <c r="R241" s="50"/>
      <c r="S241" s="50"/>
      <c r="T241" s="50"/>
      <c r="U241" s="50"/>
      <c r="V241" s="50"/>
      <c r="W241" s="50"/>
      <c r="X241" s="50"/>
      <c r="Y241" s="50"/>
      <c r="Z241" s="50"/>
      <c r="AA241" s="50"/>
      <c r="AB241" s="50"/>
      <c r="AC241" s="50"/>
      <c r="AD241" s="50"/>
      <c r="AE241" s="50"/>
      <c r="AF241" s="50"/>
      <c r="AG241" s="50"/>
      <c r="AH241" s="50"/>
      <c r="AI241" s="50"/>
      <c r="AJ241" s="50"/>
      <c r="AK241" s="50"/>
      <c r="AL241" s="50"/>
      <c r="AM241" s="50"/>
      <c r="AN241" s="50"/>
    </row>
    <row r="242" spans="1:40">
      <c r="A242" s="50"/>
      <c r="B242" s="50"/>
      <c r="C242" s="50"/>
      <c r="D242" s="50"/>
      <c r="E242" s="50"/>
      <c r="F242" s="50"/>
      <c r="G242" s="50"/>
      <c r="H242" s="50"/>
      <c r="I242" s="50"/>
      <c r="J242" s="50"/>
      <c r="K242" s="50"/>
      <c r="L242" s="50"/>
      <c r="M242" s="50"/>
      <c r="N242" s="50"/>
      <c r="O242" s="50"/>
      <c r="P242" s="50"/>
      <c r="Q242" s="50"/>
      <c r="R242" s="50"/>
      <c r="S242" s="50"/>
      <c r="T242" s="50"/>
      <c r="U242" s="50"/>
      <c r="V242" s="50"/>
      <c r="W242" s="50"/>
      <c r="X242" s="50"/>
      <c r="Y242" s="50"/>
      <c r="Z242" s="50"/>
      <c r="AA242" s="50"/>
      <c r="AB242" s="50"/>
      <c r="AC242" s="50"/>
      <c r="AD242" s="50"/>
      <c r="AE242" s="50"/>
      <c r="AF242" s="50"/>
      <c r="AG242" s="50"/>
      <c r="AH242" s="50"/>
      <c r="AI242" s="50"/>
      <c r="AJ242" s="50"/>
      <c r="AK242" s="50"/>
      <c r="AL242" s="50"/>
      <c r="AM242" s="50"/>
      <c r="AN242" s="50"/>
    </row>
    <row r="243" spans="1:40">
      <c r="A243" s="50"/>
      <c r="B243" s="50"/>
      <c r="C243" s="50"/>
      <c r="D243" s="50"/>
      <c r="E243" s="50"/>
      <c r="F243" s="50"/>
      <c r="G243" s="50"/>
      <c r="H243" s="50"/>
      <c r="I243" s="50"/>
      <c r="J243" s="50"/>
      <c r="K243" s="50"/>
      <c r="L243" s="50"/>
      <c r="M243" s="50"/>
      <c r="N243" s="50"/>
      <c r="O243" s="50"/>
      <c r="P243" s="50"/>
      <c r="Q243" s="50"/>
      <c r="R243" s="50"/>
      <c r="S243" s="50"/>
      <c r="T243" s="50"/>
      <c r="U243" s="50"/>
      <c r="V243" s="50"/>
      <c r="W243" s="50"/>
      <c r="X243" s="50"/>
      <c r="Y243" s="50"/>
      <c r="Z243" s="50"/>
      <c r="AA243" s="50"/>
      <c r="AB243" s="50"/>
      <c r="AC243" s="50"/>
      <c r="AD243" s="50"/>
      <c r="AE243" s="50"/>
      <c r="AF243" s="50"/>
      <c r="AG243" s="50"/>
      <c r="AH243" s="50"/>
      <c r="AI243" s="50"/>
      <c r="AJ243" s="50"/>
      <c r="AK243" s="50"/>
      <c r="AL243" s="50"/>
      <c r="AM243" s="50"/>
      <c r="AN243" s="50"/>
    </row>
    <row r="244" spans="1:40">
      <c r="A244" s="50"/>
      <c r="B244" s="50"/>
      <c r="C244" s="50"/>
      <c r="D244" s="50"/>
      <c r="E244" s="50"/>
      <c r="F244" s="50"/>
      <c r="G244" s="50"/>
      <c r="H244" s="50"/>
      <c r="I244" s="50"/>
      <c r="J244" s="50"/>
      <c r="K244" s="50"/>
      <c r="L244" s="50"/>
      <c r="M244" s="50"/>
      <c r="N244" s="50"/>
      <c r="O244" s="50"/>
      <c r="P244" s="50"/>
      <c r="Q244" s="50"/>
      <c r="R244" s="50"/>
      <c r="S244" s="50"/>
      <c r="T244" s="50"/>
      <c r="U244" s="50"/>
      <c r="V244" s="50"/>
      <c r="W244" s="50"/>
      <c r="X244" s="50"/>
      <c r="Y244" s="50"/>
      <c r="Z244" s="50"/>
      <c r="AA244" s="50"/>
      <c r="AB244" s="50"/>
      <c r="AC244" s="50"/>
      <c r="AD244" s="50"/>
      <c r="AE244" s="50"/>
      <c r="AF244" s="50"/>
      <c r="AG244" s="50"/>
      <c r="AH244" s="50"/>
      <c r="AI244" s="50"/>
      <c r="AJ244" s="50"/>
      <c r="AK244" s="50"/>
      <c r="AL244" s="50"/>
      <c r="AM244" s="50"/>
      <c r="AN244" s="50"/>
    </row>
    <row r="245" spans="1:40">
      <c r="A245" s="50"/>
      <c r="B245" s="50"/>
      <c r="C245" s="50"/>
      <c r="D245" s="50"/>
      <c r="E245" s="50"/>
      <c r="F245" s="50"/>
      <c r="G245" s="50"/>
      <c r="H245" s="50"/>
      <c r="I245" s="50"/>
      <c r="J245" s="50"/>
      <c r="K245" s="50"/>
      <c r="L245" s="50"/>
      <c r="M245" s="50"/>
      <c r="N245" s="50"/>
      <c r="O245" s="50"/>
      <c r="P245" s="50"/>
      <c r="Q245" s="50"/>
      <c r="R245" s="50"/>
      <c r="S245" s="50"/>
      <c r="T245" s="50"/>
      <c r="U245" s="50"/>
      <c r="V245" s="50"/>
      <c r="W245" s="50"/>
      <c r="X245" s="50"/>
      <c r="Y245" s="50"/>
      <c r="Z245" s="50"/>
      <c r="AA245" s="50"/>
      <c r="AB245" s="50"/>
      <c r="AC245" s="50"/>
      <c r="AD245" s="50"/>
      <c r="AE245" s="50"/>
      <c r="AF245" s="50"/>
      <c r="AG245" s="50"/>
      <c r="AH245" s="50"/>
      <c r="AI245" s="50"/>
      <c r="AJ245" s="50"/>
      <c r="AK245" s="50"/>
      <c r="AL245" s="50"/>
      <c r="AM245" s="50"/>
      <c r="AN245" s="50"/>
    </row>
    <row r="246" spans="1:40">
      <c r="A246" s="50"/>
      <c r="B246" s="50"/>
      <c r="C246" s="50"/>
      <c r="D246" s="50"/>
      <c r="E246" s="50"/>
      <c r="F246" s="50"/>
      <c r="G246" s="50"/>
      <c r="H246" s="50"/>
      <c r="I246" s="50"/>
      <c r="J246" s="50"/>
      <c r="K246" s="50"/>
      <c r="L246" s="50"/>
      <c r="M246" s="50"/>
      <c r="N246" s="50"/>
      <c r="O246" s="50"/>
      <c r="P246" s="50"/>
      <c r="Q246" s="50"/>
      <c r="R246" s="50"/>
      <c r="S246" s="50"/>
      <c r="T246" s="50"/>
      <c r="U246" s="50"/>
      <c r="V246" s="50"/>
      <c r="W246" s="50"/>
      <c r="X246" s="50"/>
      <c r="Y246" s="50"/>
      <c r="Z246" s="50"/>
      <c r="AA246" s="50"/>
      <c r="AB246" s="50"/>
      <c r="AC246" s="50"/>
      <c r="AD246" s="50"/>
      <c r="AE246" s="50"/>
      <c r="AF246" s="50"/>
      <c r="AG246" s="50"/>
      <c r="AH246" s="50"/>
      <c r="AI246" s="50"/>
      <c r="AJ246" s="50"/>
      <c r="AK246" s="50"/>
      <c r="AL246" s="50"/>
      <c r="AM246" s="50"/>
      <c r="AN246" s="50"/>
    </row>
    <row r="247" spans="1:40">
      <c r="A247" s="50"/>
      <c r="B247" s="50"/>
      <c r="C247" s="50"/>
      <c r="D247" s="50"/>
      <c r="E247" s="50"/>
      <c r="F247" s="50"/>
      <c r="G247" s="50"/>
      <c r="H247" s="50"/>
      <c r="I247" s="50"/>
      <c r="J247" s="50"/>
      <c r="K247" s="50"/>
      <c r="L247" s="50"/>
      <c r="M247" s="50"/>
      <c r="N247" s="50"/>
      <c r="O247" s="50"/>
      <c r="P247" s="50"/>
      <c r="Q247" s="50"/>
      <c r="R247" s="50"/>
      <c r="S247" s="50"/>
      <c r="T247" s="50"/>
      <c r="U247" s="50"/>
      <c r="V247" s="50"/>
      <c r="W247" s="50"/>
      <c r="X247" s="50"/>
      <c r="Y247" s="50"/>
      <c r="Z247" s="50"/>
      <c r="AA247" s="50"/>
      <c r="AB247" s="50"/>
      <c r="AC247" s="50"/>
      <c r="AD247" s="50"/>
      <c r="AE247" s="50"/>
      <c r="AF247" s="50"/>
      <c r="AG247" s="50"/>
      <c r="AH247" s="50"/>
      <c r="AI247" s="50"/>
      <c r="AJ247" s="50"/>
      <c r="AK247" s="50"/>
      <c r="AL247" s="50"/>
      <c r="AM247" s="50"/>
      <c r="AN247" s="50"/>
    </row>
    <row r="248" spans="1:40">
      <c r="A248" s="50"/>
      <c r="B248" s="50"/>
      <c r="C248" s="50"/>
      <c r="D248" s="50"/>
      <c r="E248" s="50"/>
      <c r="F248" s="50"/>
      <c r="G248" s="50"/>
      <c r="H248" s="50"/>
      <c r="I248" s="50"/>
      <c r="J248" s="50"/>
      <c r="K248" s="50"/>
      <c r="L248" s="50"/>
      <c r="M248" s="50"/>
      <c r="N248" s="50"/>
      <c r="O248" s="50"/>
      <c r="P248" s="50"/>
      <c r="Q248" s="50"/>
      <c r="R248" s="50"/>
      <c r="S248" s="50"/>
      <c r="T248" s="50"/>
      <c r="U248" s="50"/>
      <c r="V248" s="50"/>
      <c r="W248" s="50"/>
      <c r="X248" s="50"/>
      <c r="Y248" s="50"/>
      <c r="Z248" s="50"/>
      <c r="AA248" s="50"/>
      <c r="AB248" s="50"/>
      <c r="AC248" s="50"/>
      <c r="AD248" s="50"/>
      <c r="AE248" s="50"/>
      <c r="AF248" s="50"/>
      <c r="AG248" s="50"/>
      <c r="AH248" s="50"/>
      <c r="AI248" s="50"/>
      <c r="AJ248" s="50"/>
      <c r="AK248" s="50"/>
      <c r="AL248" s="50"/>
      <c r="AM248" s="50"/>
      <c r="AN248" s="50"/>
    </row>
    <row r="249" spans="1:40">
      <c r="A249" s="50"/>
      <c r="B249" s="50"/>
      <c r="C249" s="50"/>
      <c r="D249" s="50"/>
      <c r="E249" s="50"/>
      <c r="F249" s="50"/>
      <c r="G249" s="50"/>
      <c r="H249" s="50"/>
      <c r="I249" s="50"/>
      <c r="J249" s="50"/>
      <c r="K249" s="50"/>
      <c r="L249" s="50"/>
      <c r="M249" s="50"/>
      <c r="N249" s="50"/>
      <c r="O249" s="50"/>
      <c r="P249" s="50"/>
      <c r="Q249" s="50"/>
      <c r="R249" s="50"/>
      <c r="S249" s="50"/>
      <c r="T249" s="50"/>
      <c r="U249" s="50"/>
      <c r="V249" s="50"/>
      <c r="W249" s="50"/>
      <c r="X249" s="50"/>
      <c r="Y249" s="50"/>
      <c r="Z249" s="50"/>
      <c r="AA249" s="50"/>
      <c r="AB249" s="50"/>
      <c r="AC249" s="50"/>
      <c r="AD249" s="50"/>
      <c r="AE249" s="50"/>
      <c r="AF249" s="50"/>
      <c r="AG249" s="50"/>
      <c r="AH249" s="50"/>
      <c r="AI249" s="50"/>
      <c r="AJ249" s="50"/>
      <c r="AK249" s="50"/>
      <c r="AL249" s="50"/>
      <c r="AM249" s="50"/>
      <c r="AN249" s="50"/>
    </row>
    <row r="250" spans="1:40">
      <c r="A250" s="50"/>
      <c r="B250" s="50"/>
      <c r="C250" s="50"/>
      <c r="D250" s="50"/>
      <c r="E250" s="50"/>
      <c r="F250" s="50"/>
      <c r="G250" s="50"/>
      <c r="H250" s="50"/>
      <c r="I250" s="50"/>
      <c r="J250" s="50"/>
      <c r="K250" s="50"/>
      <c r="L250" s="50"/>
      <c r="M250" s="50"/>
      <c r="N250" s="50"/>
      <c r="O250" s="50"/>
      <c r="P250" s="50"/>
      <c r="Q250" s="50"/>
      <c r="R250" s="50"/>
      <c r="S250" s="50"/>
      <c r="T250" s="50"/>
      <c r="U250" s="50"/>
      <c r="V250" s="50"/>
      <c r="W250" s="50"/>
      <c r="X250" s="50"/>
      <c r="Y250" s="50"/>
      <c r="Z250" s="50"/>
      <c r="AA250" s="50"/>
      <c r="AB250" s="50"/>
      <c r="AC250" s="50"/>
      <c r="AD250" s="50"/>
      <c r="AE250" s="50"/>
      <c r="AF250" s="50"/>
      <c r="AG250" s="50"/>
      <c r="AH250" s="50"/>
      <c r="AI250" s="50"/>
      <c r="AJ250" s="50"/>
      <c r="AK250" s="50"/>
      <c r="AL250" s="50"/>
      <c r="AM250" s="50"/>
      <c r="AN250" s="50"/>
    </row>
    <row r="251" spans="1:40">
      <c r="A251" s="50"/>
      <c r="B251" s="50"/>
      <c r="C251" s="50"/>
      <c r="D251" s="50"/>
      <c r="E251" s="50"/>
      <c r="F251" s="50"/>
      <c r="G251" s="50"/>
      <c r="H251" s="50"/>
      <c r="I251" s="50"/>
      <c r="J251" s="50"/>
      <c r="K251" s="50"/>
      <c r="L251" s="50"/>
      <c r="M251" s="50"/>
      <c r="N251" s="50"/>
      <c r="O251" s="50"/>
      <c r="P251" s="50"/>
      <c r="Q251" s="50"/>
      <c r="R251" s="50"/>
      <c r="S251" s="50"/>
      <c r="T251" s="50"/>
      <c r="U251" s="50"/>
      <c r="V251" s="50"/>
      <c r="W251" s="50"/>
      <c r="X251" s="50"/>
      <c r="Y251" s="50"/>
      <c r="Z251" s="50"/>
      <c r="AA251" s="50"/>
      <c r="AB251" s="50"/>
      <c r="AC251" s="50"/>
      <c r="AD251" s="50"/>
      <c r="AE251" s="50"/>
      <c r="AF251" s="50"/>
      <c r="AG251" s="50"/>
      <c r="AH251" s="50"/>
      <c r="AI251" s="50"/>
      <c r="AJ251" s="50"/>
      <c r="AK251" s="50"/>
      <c r="AL251" s="50"/>
      <c r="AM251" s="50"/>
      <c r="AN251" s="50"/>
    </row>
    <row r="252" spans="1:40">
      <c r="A252" s="50"/>
      <c r="B252" s="50"/>
      <c r="C252" s="50"/>
      <c r="D252" s="50"/>
      <c r="E252" s="50"/>
      <c r="F252" s="50"/>
      <c r="G252" s="50"/>
      <c r="H252" s="50"/>
      <c r="I252" s="50"/>
      <c r="J252" s="50"/>
      <c r="K252" s="50"/>
      <c r="L252" s="50"/>
      <c r="M252" s="50"/>
      <c r="N252" s="50"/>
      <c r="O252" s="50"/>
      <c r="P252" s="50"/>
      <c r="Q252" s="50"/>
      <c r="R252" s="50"/>
      <c r="S252" s="50"/>
      <c r="T252" s="50"/>
      <c r="U252" s="50"/>
      <c r="V252" s="50"/>
      <c r="W252" s="50"/>
      <c r="X252" s="50"/>
      <c r="Y252" s="50"/>
      <c r="Z252" s="50"/>
      <c r="AA252" s="50"/>
      <c r="AB252" s="50"/>
      <c r="AC252" s="50"/>
      <c r="AD252" s="50"/>
      <c r="AE252" s="50"/>
      <c r="AF252" s="50"/>
      <c r="AG252" s="50"/>
      <c r="AH252" s="50"/>
      <c r="AI252" s="50"/>
      <c r="AJ252" s="50"/>
      <c r="AK252" s="50"/>
      <c r="AL252" s="50"/>
      <c r="AM252" s="50"/>
      <c r="AN252" s="50"/>
    </row>
  </sheetData>
  <sheetProtection algorithmName="SHA-512" hashValue="SKUJm/0ujg1MJVanRjPbLUKXZW519tdohSzONxdG/8GgVZz/k3NosqOC9leBM+2GYlRz1WbAvQblvlP6QWpc2w==" saltValue="4FuQQmRE3/hcD9UmpBWFRA==" spinCount="100000" sheet="1" objects="1" scenarios="1"/>
  <customSheetViews>
    <customSheetView guid="{52A26A5D-FD00-480B-943F-DB06B537D6D8}" scale="90" hiddenRows="1" topLeftCell="A25">
      <selection activeCell="K12" sqref="K12"/>
      <pageMargins left="0.7" right="0.7" top="0.75" bottom="0.75" header="0.3" footer="0.3"/>
      <pageSetup scale="46" orientation="landscape" r:id="rId1"/>
    </customSheetView>
    <customSheetView guid="{EF22FA0B-F747-41C1-93DE-56651BBC6020}" scale="90" hiddenRows="1" topLeftCell="C46">
      <selection activeCell="F25" sqref="F25"/>
      <pageMargins left="0.7" right="0.7" top="0.75" bottom="0.75" header="0.3" footer="0.3"/>
      <pageSetup scale="46" orientation="landscape" r:id="rId2"/>
    </customSheetView>
  </customSheetViews>
  <mergeCells count="5">
    <mergeCell ref="A38:A39"/>
    <mergeCell ref="A1:F1"/>
    <mergeCell ref="B8:D8"/>
    <mergeCell ref="E8:E9"/>
    <mergeCell ref="L9:O9"/>
  </mergeCells>
  <dataValidations count="12">
    <dataValidation type="list" allowBlank="1" showInputMessage="1" showErrorMessage="1" sqref="D30">
      <formula1>$B$79:$E$79</formula1>
    </dataValidation>
    <dataValidation type="list" allowBlank="1" showInputMessage="1" showErrorMessage="1" sqref="D44">
      <formula1>$B$86:$D$86</formula1>
    </dataValidation>
    <dataValidation type="list" allowBlank="1" showInputMessage="1" showErrorMessage="1" sqref="D38">
      <formula1>$B$82:$D$82</formula1>
    </dataValidation>
    <dataValidation type="list" allowBlank="1" showInputMessage="1" showErrorMessage="1" sqref="D39">
      <formula1>$B$83:$D$83</formula1>
    </dataValidation>
    <dataValidation type="list" allowBlank="1" showInputMessage="1" showErrorMessage="1" sqref="D28">
      <formula1>$B$77:$D$77</formula1>
    </dataValidation>
    <dataValidation type="list" allowBlank="1" showInputMessage="1" showErrorMessage="1" sqref="D21">
      <formula1>$B$72:$E$72</formula1>
    </dataValidation>
    <dataValidation type="list" allowBlank="1" showInputMessage="1" showErrorMessage="1" sqref="D24">
      <formula1>IF($B$24="Not applicable", ,$B$75:$D$75)</formula1>
    </dataValidation>
    <dataValidation type="list" allowBlank="1" showInputMessage="1" showErrorMessage="1" sqref="D29">
      <formula1>$B$78:$E$78</formula1>
    </dataValidation>
    <dataValidation type="list" allowBlank="1" showInputMessage="1" showErrorMessage="1" sqref="D22">
      <formula1>$B$73:$E$73</formula1>
    </dataValidation>
    <dataValidation type="list" allowBlank="1" showInputMessage="1" showErrorMessage="1" sqref="D23">
      <formula1>$B$74:$E$74</formula1>
    </dataValidation>
    <dataValidation type="list" allowBlank="1" showInputMessage="1" showErrorMessage="1" sqref="D31">
      <formula1>$B$80:$D$80</formula1>
    </dataValidation>
    <dataValidation type="list" allowBlank="1" showInputMessage="1" showErrorMessage="1" sqref="D45">
      <formula1>$B$85:$E$85</formula1>
    </dataValidation>
  </dataValidations>
  <pageMargins left="0.7" right="0.7" top="0.75" bottom="0.75" header="0.3" footer="0.3"/>
  <pageSetup scale="46" orientation="landscape" r:id="rId3"/>
  <drawing r:id="rId4"/>
  <legacyDrawing r:id="rId5"/>
  <tableParts count="1">
    <tablePart r:id="rId6"/>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outlinePr summaryBelow="0" summaryRight="0"/>
  </sheetPr>
  <dimension ref="A1:AO252"/>
  <sheetViews>
    <sheetView zoomScale="80" zoomScaleNormal="80" workbookViewId="0">
      <selection activeCell="B4" sqref="B4"/>
    </sheetView>
  </sheetViews>
  <sheetFormatPr defaultColWidth="9.140625" defaultRowHeight="15" outlineLevelRow="1"/>
  <cols>
    <col min="1" max="1" width="45.7109375" style="2" customWidth="1"/>
    <col min="2" max="2" width="50.5703125" style="2" customWidth="1"/>
    <col min="3" max="3" width="38.42578125" style="2" customWidth="1"/>
    <col min="4" max="4" width="92.42578125" style="2" customWidth="1"/>
    <col min="5" max="5" width="18.5703125" style="2" customWidth="1"/>
    <col min="6" max="6" width="21.42578125" style="2" customWidth="1"/>
    <col min="7" max="7" width="11" style="2" customWidth="1"/>
    <col min="8" max="8" width="41.85546875" style="2" customWidth="1"/>
    <col min="9" max="9" width="11" style="2" customWidth="1"/>
    <col min="10" max="10" width="36.85546875" style="2" hidden="1" customWidth="1"/>
    <col min="11" max="11" width="21.140625" style="2" hidden="1" customWidth="1"/>
    <col min="12" max="12" width="11" style="2" customWidth="1"/>
    <col min="13" max="16384" width="9.140625" style="2"/>
  </cols>
  <sheetData>
    <row r="1" spans="1:39" ht="28.5" customHeight="1">
      <c r="A1" s="408" t="s">
        <v>487</v>
      </c>
      <c r="B1" s="408"/>
      <c r="C1" s="408"/>
      <c r="D1" s="408"/>
      <c r="E1" s="408"/>
      <c r="F1" s="408"/>
      <c r="G1" s="50"/>
      <c r="H1" s="79"/>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0"/>
    </row>
    <row r="2" spans="1:39" ht="24.75" customHeight="1" thickBot="1">
      <c r="A2" s="50"/>
      <c r="B2" s="49"/>
      <c r="C2" s="49"/>
      <c r="D2" s="49"/>
      <c r="E2" s="49"/>
      <c r="F2" s="49"/>
      <c r="G2" s="50"/>
      <c r="H2" s="79"/>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c r="AL2" s="50"/>
      <c r="AM2" s="50"/>
    </row>
    <row r="3" spans="1:39" s="5" customFormat="1" ht="30" customHeight="1">
      <c r="A3" s="86" t="s">
        <v>704</v>
      </c>
      <c r="B3" s="168" t="str">
        <f>SUM(E9:E61) &amp; " of 28" &amp; " points"</f>
        <v>0 of 28 points</v>
      </c>
      <c r="C3" s="63"/>
      <c r="D3" s="52"/>
      <c r="E3" s="49"/>
      <c r="F3" s="50"/>
      <c r="G3" s="50"/>
      <c r="H3" s="79"/>
      <c r="I3" s="50"/>
      <c r="J3" s="50"/>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row>
    <row r="4" spans="1:39" s="5" customFormat="1" ht="20.25" customHeight="1">
      <c r="A4" s="140" t="s">
        <v>484</v>
      </c>
      <c r="B4" s="167" t="str">
        <f>SUM(E18:E26)   &amp; " of " &amp; 8</f>
        <v>0 of 8</v>
      </c>
      <c r="C4" s="49"/>
      <c r="D4" s="49"/>
      <c r="E4" s="49"/>
      <c r="F4" s="49"/>
      <c r="G4" s="50"/>
      <c r="H4" s="79"/>
      <c r="I4" s="50"/>
      <c r="J4" s="50"/>
      <c r="K4" s="50"/>
      <c r="L4" s="50"/>
      <c r="M4" s="50"/>
      <c r="N4" s="50"/>
      <c r="O4" s="50"/>
      <c r="P4" s="50"/>
      <c r="Q4" s="50"/>
      <c r="R4" s="50"/>
      <c r="S4" s="50"/>
      <c r="T4" s="50"/>
      <c r="U4" s="50"/>
      <c r="V4" s="50"/>
      <c r="W4" s="50"/>
      <c r="X4" s="50"/>
      <c r="Y4" s="50"/>
      <c r="Z4" s="50"/>
      <c r="AA4" s="50"/>
      <c r="AB4" s="50"/>
      <c r="AC4" s="50"/>
      <c r="AD4" s="50"/>
      <c r="AE4" s="50"/>
      <c r="AF4" s="50"/>
      <c r="AG4" s="50"/>
      <c r="AH4" s="50"/>
      <c r="AI4" s="50"/>
      <c r="AJ4" s="50"/>
      <c r="AK4" s="50"/>
      <c r="AL4" s="50"/>
      <c r="AM4" s="50"/>
    </row>
    <row r="5" spans="1:39" s="5" customFormat="1" ht="20.25" customHeight="1">
      <c r="A5" s="140" t="s">
        <v>485</v>
      </c>
      <c r="B5" s="167" t="str">
        <f>SUM(E32:E35)   &amp; " of " &amp; 6</f>
        <v>0 of 6</v>
      </c>
      <c r="C5" s="49"/>
      <c r="D5" s="49"/>
      <c r="E5" s="49"/>
      <c r="F5" s="49"/>
      <c r="G5" s="50"/>
      <c r="H5" s="79"/>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row>
    <row r="6" spans="1:39" s="5" customFormat="1" ht="31.5">
      <c r="A6" s="291" t="s">
        <v>705</v>
      </c>
      <c r="B6" s="167" t="str">
        <f>SUM(E40:E43)   &amp; " of " &amp; 8</f>
        <v>0 of 8</v>
      </c>
      <c r="C6" s="49"/>
      <c r="D6" s="49"/>
      <c r="E6" s="49"/>
      <c r="F6" s="49"/>
      <c r="G6" s="50"/>
      <c r="H6" s="79"/>
      <c r="I6" s="50"/>
      <c r="J6" s="50"/>
      <c r="K6" s="50"/>
      <c r="L6" s="50"/>
      <c r="M6" s="50"/>
      <c r="N6" s="50"/>
      <c r="O6" s="50"/>
      <c r="P6" s="50"/>
      <c r="Q6" s="50"/>
      <c r="R6" s="50"/>
      <c r="S6" s="50"/>
      <c r="T6" s="50"/>
      <c r="U6" s="50"/>
      <c r="V6" s="50"/>
      <c r="W6" s="50"/>
      <c r="X6" s="50"/>
      <c r="Y6" s="50"/>
      <c r="Z6" s="50"/>
      <c r="AA6" s="50"/>
      <c r="AB6" s="50"/>
      <c r="AC6" s="50"/>
      <c r="AD6" s="50"/>
      <c r="AE6" s="50"/>
      <c r="AF6" s="50"/>
      <c r="AG6" s="50"/>
      <c r="AH6" s="50"/>
      <c r="AI6" s="50"/>
      <c r="AJ6" s="50"/>
      <c r="AK6" s="50"/>
      <c r="AL6" s="50"/>
      <c r="AM6" s="50"/>
    </row>
    <row r="7" spans="1:39" s="5" customFormat="1" ht="31.5">
      <c r="A7" s="291" t="s">
        <v>836</v>
      </c>
      <c r="B7" s="167" t="str">
        <f>SUM(E47:E61)   &amp; " of " &amp; 6</f>
        <v>0 of 6</v>
      </c>
      <c r="C7" s="63"/>
      <c r="D7" s="49"/>
      <c r="E7" s="49"/>
      <c r="F7" s="49"/>
      <c r="G7" s="50"/>
      <c r="H7" s="79"/>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row>
    <row r="8" spans="1:39" s="50" customFormat="1" ht="23.25" customHeight="1">
      <c r="A8" s="60"/>
      <c r="B8" s="49"/>
      <c r="C8" s="63"/>
      <c r="D8" s="49"/>
      <c r="E8" s="49"/>
      <c r="F8" s="49"/>
      <c r="H8" s="79"/>
    </row>
    <row r="9" spans="1:39" s="5" customFormat="1" ht="21.75" thickBot="1">
      <c r="A9" s="53"/>
      <c r="B9" s="53"/>
      <c r="C9" s="53"/>
      <c r="D9" s="49"/>
      <c r="E9" s="49"/>
      <c r="F9" s="49"/>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row>
    <row r="10" spans="1:39" ht="30.75" thickBot="1">
      <c r="A10" s="50"/>
      <c r="B10" s="417" t="s">
        <v>496</v>
      </c>
      <c r="C10" s="418"/>
      <c r="D10" s="419"/>
      <c r="E10" s="18" t="s">
        <v>511</v>
      </c>
      <c r="F10" s="49"/>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row>
    <row r="11" spans="1:39" ht="101.25" customHeight="1">
      <c r="A11" s="50"/>
      <c r="B11" s="413" t="s">
        <v>708</v>
      </c>
      <c r="C11" s="414"/>
      <c r="D11" s="28"/>
      <c r="E11" s="19" t="s">
        <v>505</v>
      </c>
      <c r="F11" s="50"/>
      <c r="G11" s="79"/>
      <c r="H11" s="79"/>
      <c r="I11" s="50"/>
      <c r="J11" s="50"/>
      <c r="K11" s="50"/>
      <c r="L11" s="50"/>
      <c r="M11" s="50"/>
      <c r="N11" s="50"/>
      <c r="O11" s="50"/>
      <c r="P11" s="50"/>
      <c r="Q11" s="50"/>
      <c r="R11" s="50"/>
      <c r="S11" s="50"/>
      <c r="T11" s="50"/>
      <c r="U11" s="50"/>
      <c r="V11" s="50"/>
      <c r="W11" s="50"/>
      <c r="X11" s="50"/>
      <c r="Y11" s="50"/>
      <c r="Z11" s="50"/>
      <c r="AA11" s="50"/>
      <c r="AB11" s="50"/>
      <c r="AC11" s="50"/>
      <c r="AD11" s="50"/>
      <c r="AE11" s="50"/>
      <c r="AF11" s="50"/>
      <c r="AG11" s="50"/>
      <c r="AH11" s="50"/>
      <c r="AI11" s="50"/>
      <c r="AJ11" s="50"/>
      <c r="AK11" s="50"/>
      <c r="AL11" s="50"/>
      <c r="AM11" s="50"/>
    </row>
    <row r="12" spans="1:39" ht="103.5" customHeight="1">
      <c r="A12" s="50"/>
      <c r="B12" s="415" t="s">
        <v>709</v>
      </c>
      <c r="C12" s="416"/>
      <c r="D12" s="230"/>
      <c r="E12" s="231" t="s">
        <v>505</v>
      </c>
      <c r="F12" s="100"/>
      <c r="G12" s="79"/>
      <c r="H12" s="79"/>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row>
    <row r="13" spans="1:39" ht="30">
      <c r="A13" s="198"/>
      <c r="B13" s="415" t="s">
        <v>706</v>
      </c>
      <c r="C13" s="416"/>
      <c r="D13" s="29"/>
      <c r="E13" s="232" t="s">
        <v>505</v>
      </c>
      <c r="F13" s="100"/>
      <c r="G13" s="79"/>
      <c r="H13" s="79"/>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row>
    <row r="14" spans="1:39" ht="30.75" thickBot="1">
      <c r="A14" s="50"/>
      <c r="B14" s="420" t="s">
        <v>707</v>
      </c>
      <c r="C14" s="421"/>
      <c r="D14" s="292"/>
      <c r="E14" s="38" t="s">
        <v>505</v>
      </c>
      <c r="F14" s="100"/>
      <c r="G14" s="79"/>
      <c r="H14" s="79"/>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row>
    <row r="15" spans="1:39" s="79" customFormat="1" ht="21">
      <c r="B15" s="52"/>
      <c r="C15" s="52"/>
      <c r="D15" s="52"/>
      <c r="E15" s="52"/>
      <c r="F15" s="52"/>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row>
    <row r="16" spans="1:39" s="79" customFormat="1" ht="21.75" thickBot="1">
      <c r="A16" s="59" t="s">
        <v>484</v>
      </c>
      <c r="B16" s="52"/>
      <c r="C16" s="52"/>
      <c r="D16" s="52"/>
      <c r="E16" s="52"/>
      <c r="F16" s="52"/>
      <c r="H16" s="50"/>
      <c r="I16" s="50"/>
      <c r="J16" s="50"/>
      <c r="K16" s="50"/>
    </row>
    <row r="17" spans="1:41" ht="36" customHeight="1" outlineLevel="1">
      <c r="A17" s="69" t="s">
        <v>58</v>
      </c>
      <c r="B17" s="70" t="s">
        <v>11</v>
      </c>
      <c r="C17" s="70" t="s">
        <v>450</v>
      </c>
      <c r="D17" s="70" t="s">
        <v>527</v>
      </c>
      <c r="E17" s="70" t="s">
        <v>1</v>
      </c>
      <c r="F17" s="304" t="s">
        <v>511</v>
      </c>
      <c r="G17" s="50"/>
      <c r="H17" s="50"/>
      <c r="I17" s="50"/>
      <c r="J17" s="50"/>
      <c r="K17" s="50"/>
      <c r="L17" s="50"/>
      <c r="M17" s="50"/>
      <c r="N17" s="50"/>
      <c r="O17" s="50"/>
      <c r="P17" s="50"/>
      <c r="Q17" s="50"/>
      <c r="R17" s="50"/>
      <c r="S17" s="50"/>
      <c r="T17" s="50"/>
      <c r="U17" s="50"/>
      <c r="V17" s="50"/>
      <c r="W17" s="50"/>
      <c r="X17" s="50"/>
      <c r="Y17" s="50"/>
      <c r="Z17" s="50"/>
      <c r="AA17" s="50"/>
      <c r="AB17" s="50"/>
      <c r="AC17" s="50"/>
      <c r="AD17" s="50"/>
      <c r="AE17" s="50"/>
      <c r="AF17" s="50"/>
      <c r="AG17" s="50"/>
      <c r="AH17" s="50"/>
      <c r="AI17" s="50"/>
      <c r="AJ17" s="50"/>
      <c r="AK17" s="50"/>
      <c r="AL17" s="50"/>
      <c r="AM17" s="50"/>
      <c r="AN17" s="50"/>
      <c r="AO17" s="50"/>
    </row>
    <row r="18" spans="1:41" ht="48.75" customHeight="1" outlineLevel="1">
      <c r="A18" s="412" t="s">
        <v>488</v>
      </c>
      <c r="B18" s="355" t="str">
        <f>IF(D11="Local authority permitted.","Not applicable",IF(D11="Local code only.","Not applicable","What residential building energy code is in place in your state?"))</f>
        <v>What residential building energy code is in place in your state?</v>
      </c>
      <c r="C18" s="32"/>
      <c r="D18" s="32"/>
      <c r="E18" s="169" t="str">
        <f>IF(ISBLANK(D18),"",IF(ISBLANK(D11),"",IF(D11="State authority only.",VLOOKUP(D18,'Hidden Sheet'!A66:B70,2,FALSE),IF(D11="Local Authority Permitted.",VLOOKUP(D18,'Hidden Sheet'!A73:B77,2,FALSE),IF(D11="Local Code Only",VLOOKUP(D18,'Hidden Sheet'!A73:B77,2,FALSE))))))</f>
        <v/>
      </c>
      <c r="F18" s="90" t="s">
        <v>807</v>
      </c>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row>
    <row r="19" spans="1:41" ht="48.75" customHeight="1" outlineLevel="1">
      <c r="A19" s="412"/>
      <c r="B19" s="182" t="str">
        <f>IF(D11="Local authority permitted.","Has the local government adopted a residential energy code? If so, how stringent is it?",IF(D11="Local code only.","What residential building energy code, if any, has been adopted for your community?","Not applicable"))</f>
        <v>Not applicable</v>
      </c>
      <c r="C19" s="32"/>
      <c r="D19" s="32"/>
      <c r="E19" s="169" t="str">
        <f>IF(D19=B91,4,IF(D19=C91,3,IF(D19=D91,2,IF(D19=E91,1,IF(D19=F91,0,IF(D19=G91,0,""))))))</f>
        <v/>
      </c>
      <c r="F19" s="90" t="s">
        <v>807</v>
      </c>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row>
    <row r="20" spans="1:41" ht="44.25" customHeight="1" outlineLevel="1">
      <c r="A20" s="412"/>
      <c r="B20" s="182" t="str">
        <f>IF(AND(D11="Local authority permitted.",D19="No, the city does not have a mandatory residential building energy code."),"How stringent is the state residential energy code to which the community must adhere?","Not applicable")</f>
        <v>Not applicable</v>
      </c>
      <c r="C20" s="32"/>
      <c r="D20" s="32"/>
      <c r="E20" s="169" t="str">
        <f>IF(D20="","",VLOOKUP(D20,'Hidden Sheet'!D66:E70,2,FALSE))</f>
        <v/>
      </c>
      <c r="F20" s="90" t="s">
        <v>807</v>
      </c>
      <c r="G20" s="50"/>
      <c r="H20" s="50"/>
      <c r="I20" s="50"/>
      <c r="J20" s="50"/>
      <c r="K20" s="50"/>
      <c r="L20" s="50"/>
      <c r="M20" s="50"/>
      <c r="N20" s="50"/>
      <c r="O20" s="50"/>
      <c r="P20" s="50"/>
      <c r="Q20" s="50"/>
      <c r="R20" s="50"/>
      <c r="S20" s="50"/>
      <c r="T20" s="50"/>
      <c r="U20" s="50"/>
      <c r="V20" s="50"/>
      <c r="W20" s="50"/>
      <c r="X20" s="50"/>
      <c r="Y20" s="50"/>
      <c r="Z20" s="50"/>
      <c r="AA20" s="50"/>
      <c r="AB20" s="50"/>
      <c r="AC20" s="50"/>
      <c r="AD20" s="50"/>
      <c r="AE20" s="50"/>
      <c r="AF20" s="50"/>
      <c r="AG20" s="50"/>
      <c r="AH20" s="50"/>
      <c r="AI20" s="50"/>
      <c r="AJ20" s="50"/>
      <c r="AK20" s="50"/>
      <c r="AL20" s="50"/>
      <c r="AM20" s="50"/>
      <c r="AN20" s="50"/>
      <c r="AO20" s="50"/>
    </row>
    <row r="21" spans="1:41" ht="44.25" customHeight="1" outlineLevel="1">
      <c r="A21" s="71" t="s">
        <v>489</v>
      </c>
      <c r="B21" s="356" t="str">
        <f>IF(D11="State authority only.","Does the community actively advocate for more stringent residential energy codes?","Not applicable")</f>
        <v>Not applicable</v>
      </c>
      <c r="C21" s="30"/>
      <c r="D21" s="30"/>
      <c r="E21" s="170" t="str">
        <f>IF(D21="Yes, the city is an active advocate.",2,IF(D21="No, the city is not an active advocate.",0,""))</f>
        <v/>
      </c>
      <c r="F21" s="92" t="s">
        <v>505</v>
      </c>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row>
    <row r="22" spans="1:41" ht="48.75" customHeight="1" outlineLevel="1">
      <c r="A22" s="398" t="s">
        <v>490</v>
      </c>
      <c r="B22" s="355" t="str">
        <f>IF(D12="Local authority permitted.","Not applicable",IF(D12="Local code only.","Not applicable","What commercial building energy code is in place in your state?"))</f>
        <v>What commercial building energy code is in place in your state?</v>
      </c>
      <c r="C22" s="34"/>
      <c r="D22" s="32"/>
      <c r="E22" s="169" t="str">
        <f>IF(ISBLANK(D22),"",IF(ISBLANK(D12),"",IF(D12="State authority only.",VLOOKUP(D22,'Hidden Sheet'!A80:B84,2,FALSE),IF(D12="Local authority permitted.",VLOOKUP(D22,'Hidden Sheet'!A87:B91,2,FALSE),IF(D12="Local code only.",VLOOKUP(D22,'Hidden Sheet'!A87:B91,2,FALSE))))))</f>
        <v/>
      </c>
      <c r="F22" s="90" t="s">
        <v>807</v>
      </c>
      <c r="G22" s="50"/>
      <c r="H22" s="50"/>
      <c r="I22" s="50"/>
      <c r="J22" s="50"/>
      <c r="K22" s="50"/>
      <c r="L22" s="50"/>
      <c r="M22" s="50"/>
      <c r="N22" s="50"/>
      <c r="O22" s="50"/>
      <c r="P22" s="50"/>
      <c r="Q22" s="50"/>
      <c r="R22" s="50"/>
      <c r="S22" s="50"/>
      <c r="T22" s="50"/>
      <c r="U22" s="50"/>
      <c r="V22" s="50"/>
      <c r="W22" s="50"/>
      <c r="X22" s="50"/>
      <c r="Y22" s="50"/>
      <c r="Z22" s="50"/>
      <c r="AA22" s="50"/>
      <c r="AB22" s="50"/>
      <c r="AC22" s="50"/>
      <c r="AD22" s="50"/>
      <c r="AE22" s="50"/>
      <c r="AF22" s="50"/>
      <c r="AG22" s="50"/>
      <c r="AH22" s="50"/>
      <c r="AI22" s="50"/>
      <c r="AJ22" s="50"/>
      <c r="AK22" s="50"/>
      <c r="AL22" s="50"/>
      <c r="AM22" s="50"/>
      <c r="AN22" s="50"/>
      <c r="AO22" s="50"/>
    </row>
    <row r="23" spans="1:41" ht="48.75" customHeight="1" outlineLevel="1">
      <c r="A23" s="411"/>
      <c r="B23" s="182" t="str">
        <f>IF(D12="Local authority permitted.","Has the local government adopted a commercial energy code? If so, how stringent is it?",IF(D12="Local code only.","What commercial building energy code, if any, has been adopted for your community?","Not applicable"))</f>
        <v>Not applicable</v>
      </c>
      <c r="C23" s="34"/>
      <c r="D23" s="32"/>
      <c r="E23" s="169" t="str">
        <f>IF(D23=B95,4,IF(D23=C95,3,IF(D23=D95,1.5,IF(D23=E95,0,IF(D23=F95,0,"")))))</f>
        <v/>
      </c>
      <c r="F23" s="90" t="s">
        <v>807</v>
      </c>
      <c r="G23" s="50"/>
      <c r="H23" s="116"/>
      <c r="I23" s="50"/>
      <c r="J23" s="50"/>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50"/>
      <c r="AL23" s="50"/>
      <c r="AM23" s="50"/>
      <c r="AN23" s="50"/>
      <c r="AO23" s="50"/>
    </row>
    <row r="24" spans="1:41" ht="42.75" customHeight="1" outlineLevel="1">
      <c r="A24" s="400"/>
      <c r="B24" s="182" t="str">
        <f>IF(AND(D12="Local authority permitted.",D23=F95),"How stringent is the state commercial energy code to which the community must adhere?","Not applicable")</f>
        <v>Not applicable</v>
      </c>
      <c r="C24" s="32"/>
      <c r="D24" s="32"/>
      <c r="E24" s="169" t="str">
        <f>IF(D24=B96,2,IF(D24=C96,1.5,IF(D24=D96,1,IF(D24=E96,0,""))))</f>
        <v/>
      </c>
      <c r="F24" s="90" t="s">
        <v>807</v>
      </c>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c r="AL24" s="50"/>
      <c r="AM24" s="50"/>
      <c r="AN24" s="50"/>
      <c r="AO24" s="50"/>
    </row>
    <row r="25" spans="1:41" ht="32.25" customHeight="1" outlineLevel="1">
      <c r="A25" s="66" t="s">
        <v>491</v>
      </c>
      <c r="B25" s="356" t="str">
        <f>IF(D12="State authority only.","Does the community actively advocate for more stringent commercial energy codes?","Not applicable")</f>
        <v>Not applicable</v>
      </c>
      <c r="C25" s="32"/>
      <c r="D25" s="32"/>
      <c r="E25" s="170" t="str">
        <f>IF(D25="Yes, the city is an active advocate.",2,IF(D25="No, the city is not an active advocate.",0,""))</f>
        <v/>
      </c>
      <c r="F25" s="109" t="s">
        <v>505</v>
      </c>
      <c r="G25" s="50"/>
      <c r="H25" s="50"/>
      <c r="I25" s="50"/>
      <c r="J25" s="50"/>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50"/>
      <c r="AJ25" s="50"/>
      <c r="AK25" s="50"/>
      <c r="AL25" s="50"/>
      <c r="AM25" s="50"/>
      <c r="AN25" s="50"/>
      <c r="AO25" s="50"/>
    </row>
    <row r="26" spans="1:41" ht="64.5" customHeight="1" outlineLevel="1" thickBot="1">
      <c r="A26" s="142" t="s">
        <v>712</v>
      </c>
      <c r="B26" s="357" t="str">
        <f>IF(SUM(E18:E25)=8, "Maximum points awarded", "Does your community actively participate in the ICC model energy code development process?")</f>
        <v>Does your community actively participate in the ICC model energy code development process?</v>
      </c>
      <c r="C26" s="75"/>
      <c r="D26" s="75"/>
      <c r="E26" s="164" t="str">
        <f>IF(SUM(E18:E25)=8,0,IF(D26="Yes, the local government actively participates in the ICC model energy code development process.",0.5,IF(D26="Yes, my city has an active voting record and/or documented advocacy as part of the ICC model energy code development process. However, we have already reached the maximum score available for the residential and commercial building codes section",0.5,IF(D26="No, the local government does not actively participate in the ICC model energy code development process.",0,""))))</f>
        <v/>
      </c>
      <c r="F26" s="76" t="s">
        <v>505</v>
      </c>
      <c r="G26" s="50"/>
      <c r="H26" s="50"/>
      <c r="I26" s="50"/>
      <c r="J26" s="50"/>
      <c r="K26" s="50"/>
      <c r="L26" s="50"/>
      <c r="M26" s="50"/>
      <c r="N26" s="50"/>
      <c r="O26" s="50"/>
      <c r="P26" s="50"/>
      <c r="Q26" s="50"/>
      <c r="R26" s="50"/>
      <c r="S26" s="50"/>
      <c r="T26" s="50"/>
      <c r="U26" s="50"/>
      <c r="V26" s="50"/>
      <c r="W26" s="50"/>
      <c r="X26" s="50"/>
      <c r="Y26" s="50"/>
      <c r="Z26" s="50"/>
      <c r="AA26" s="50"/>
      <c r="AB26" s="50"/>
      <c r="AC26" s="50"/>
      <c r="AD26" s="50"/>
      <c r="AE26" s="50"/>
      <c r="AF26" s="50"/>
      <c r="AG26" s="50"/>
      <c r="AH26" s="50"/>
      <c r="AI26" s="50"/>
      <c r="AJ26" s="50"/>
      <c r="AK26" s="50"/>
      <c r="AL26" s="50"/>
      <c r="AM26" s="50"/>
      <c r="AN26" s="50"/>
      <c r="AO26" s="50"/>
    </row>
    <row r="27" spans="1:41" s="50" customFormat="1" outlineLevel="1">
      <c r="A27" s="57"/>
      <c r="B27" s="358"/>
      <c r="C27" s="57"/>
      <c r="D27" s="57"/>
      <c r="E27" s="57"/>
      <c r="F27" s="99"/>
    </row>
    <row r="28" spans="1:41" s="50" customFormat="1" outlineLevel="1">
      <c r="A28" s="57"/>
      <c r="B28" s="358"/>
      <c r="C28" s="57"/>
      <c r="D28" s="57"/>
      <c r="E28" s="57"/>
      <c r="F28" s="99"/>
    </row>
    <row r="29" spans="1:41" s="50" customFormat="1" outlineLevel="1">
      <c r="A29" s="57"/>
      <c r="B29" s="358"/>
      <c r="C29" s="57"/>
      <c r="D29" s="57"/>
      <c r="E29" s="57"/>
      <c r="F29" s="99"/>
    </row>
    <row r="30" spans="1:41" s="50" customFormat="1" ht="21.75" thickBot="1">
      <c r="A30" s="59" t="s">
        <v>485</v>
      </c>
      <c r="B30" s="359"/>
      <c r="C30" s="49"/>
      <c r="D30" s="49"/>
      <c r="E30" s="49"/>
      <c r="F30" s="49"/>
    </row>
    <row r="31" spans="1:41" ht="37.5" customHeight="1" outlineLevel="1">
      <c r="A31" s="69" t="s">
        <v>58</v>
      </c>
      <c r="B31" s="360" t="s">
        <v>11</v>
      </c>
      <c r="C31" s="70" t="s">
        <v>9</v>
      </c>
      <c r="D31" s="70" t="s">
        <v>510</v>
      </c>
      <c r="E31" s="70" t="s">
        <v>1</v>
      </c>
      <c r="F31" s="304" t="s">
        <v>511</v>
      </c>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row>
    <row r="32" spans="1:41" ht="51" customHeight="1" outlineLevel="1">
      <c r="A32" s="71" t="s">
        <v>713</v>
      </c>
      <c r="B32" s="361" t="s">
        <v>857</v>
      </c>
      <c r="C32" s="34"/>
      <c r="D32" s="34"/>
      <c r="E32" s="169" t="str">
        <f>IF(D32=B99,1,IF(D32=C99,0,""))</f>
        <v/>
      </c>
      <c r="F32" s="92" t="s">
        <v>505</v>
      </c>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AK32" s="50"/>
      <c r="AL32" s="50"/>
      <c r="AM32" s="50"/>
      <c r="AN32" s="50"/>
      <c r="AO32" s="50"/>
    </row>
    <row r="33" spans="1:41" ht="53.25" customHeight="1" outlineLevel="1">
      <c r="A33" s="71" t="s">
        <v>714</v>
      </c>
      <c r="B33" s="182" t="s">
        <v>717</v>
      </c>
      <c r="C33" s="34"/>
      <c r="D33" s="34"/>
      <c r="E33" s="169" t="str">
        <f>IF(D33=B100,2,IF(D33=C100,0,""))</f>
        <v/>
      </c>
      <c r="F33" s="92" t="s">
        <v>505</v>
      </c>
      <c r="G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row>
    <row r="34" spans="1:41" ht="45" outlineLevel="1">
      <c r="A34" s="71" t="s">
        <v>716</v>
      </c>
      <c r="B34" s="182" t="s">
        <v>858</v>
      </c>
      <c r="C34" s="32"/>
      <c r="D34" s="30"/>
      <c r="E34" s="169" t="str">
        <f>IF(D34=B101,1,IF(D34=C101,0.5,IF(D34=D101,0,"")))</f>
        <v/>
      </c>
      <c r="F34" s="92" t="s">
        <v>505</v>
      </c>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row>
    <row r="35" spans="1:41" ht="60" outlineLevel="1">
      <c r="A35" s="422" t="s">
        <v>715</v>
      </c>
      <c r="B35" s="182" t="s">
        <v>859</v>
      </c>
      <c r="C35" s="32"/>
      <c r="D35" s="30"/>
      <c r="E35" s="169" t="str">
        <f>IF(D35=B102,1,IF(D35=C102,0.5,IF(D35=D102,0,"")))</f>
        <v/>
      </c>
      <c r="F35" s="92" t="s">
        <v>505</v>
      </c>
      <c r="G35" s="50"/>
      <c r="H35" s="50"/>
      <c r="I35" s="50"/>
      <c r="J35" s="318" t="s">
        <v>825</v>
      </c>
      <c r="K35" s="317" t="str">
        <f>IF(AND(E35="",E36=""),"",SUM(E35:E36))</f>
        <v/>
      </c>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row>
    <row r="36" spans="1:41" ht="64.5" customHeight="1" outlineLevel="1" thickBot="1">
      <c r="A36" s="423"/>
      <c r="B36" s="362" t="s">
        <v>791</v>
      </c>
      <c r="C36" s="75"/>
      <c r="D36" s="75"/>
      <c r="E36" s="389" t="str">
        <f>IF(D36=B103,1,IF(D36=C103,0,""))</f>
        <v/>
      </c>
      <c r="F36" s="76" t="s">
        <v>505</v>
      </c>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row>
    <row r="37" spans="1:41" s="50" customFormat="1" outlineLevel="1">
      <c r="A37" s="57"/>
      <c r="B37" s="358"/>
      <c r="C37" s="57"/>
      <c r="D37" s="57"/>
      <c r="E37" s="57"/>
      <c r="F37" s="99"/>
    </row>
    <row r="38" spans="1:41" s="50" customFormat="1" ht="21.75" thickBot="1">
      <c r="A38" s="59" t="s">
        <v>486</v>
      </c>
      <c r="B38" s="359"/>
      <c r="C38" s="49"/>
      <c r="D38" s="49"/>
      <c r="E38" s="49"/>
      <c r="F38" s="49"/>
    </row>
    <row r="39" spans="1:41" ht="42.75" customHeight="1" outlineLevel="1">
      <c r="A39" s="69" t="s">
        <v>58</v>
      </c>
      <c r="B39" s="360" t="s">
        <v>11</v>
      </c>
      <c r="C39" s="70" t="s">
        <v>9</v>
      </c>
      <c r="D39" s="70" t="s">
        <v>510</v>
      </c>
      <c r="E39" s="70" t="s">
        <v>1</v>
      </c>
      <c r="F39" s="304" t="s">
        <v>511</v>
      </c>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row>
    <row r="40" spans="1:41" ht="45.2" customHeight="1" outlineLevel="1">
      <c r="A40" s="71" t="s">
        <v>392</v>
      </c>
      <c r="B40" s="182" t="s">
        <v>722</v>
      </c>
      <c r="C40" s="32"/>
      <c r="D40" s="30"/>
      <c r="E40" s="166" t="str">
        <f>IF(D40="Yes, the community has requirements for both residential AND commercial buildings.",1,IF(D40="Yes, the community has requirements for residential OR commercial buildings.",0.5,IF(D40="No, the community does not have energy audit requirements.",0,"")))</f>
        <v/>
      </c>
      <c r="F40" s="92" t="s">
        <v>505</v>
      </c>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row>
    <row r="41" spans="1:41" ht="68.25" customHeight="1" outlineLevel="1">
      <c r="A41" s="71" t="s">
        <v>528</v>
      </c>
      <c r="B41" s="182" t="s">
        <v>726</v>
      </c>
      <c r="C41" s="32"/>
      <c r="D41" s="30"/>
      <c r="E41" s="163" t="str">
        <f>IF(D41="Yes, the local government has above-code green requirements for certain categories of private residential AND commercial buildings.",2,IF(D41="Yes, the local government has above-code green requirements for certain categories of private residential OR commercial buildings.",1,IF(D41="City has above-code green requirements which include EE standards for some public buildings",0.5,IF(D41="No, the local government does not have above-code green requirements for certain categories of private buildings.",0,""))))</f>
        <v/>
      </c>
      <c r="F41" s="72" t="s">
        <v>505</v>
      </c>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row>
    <row r="42" spans="1:41" ht="52.5" customHeight="1" outlineLevel="1">
      <c r="A42" s="71" t="s">
        <v>394</v>
      </c>
      <c r="B42" s="182" t="s">
        <v>845</v>
      </c>
      <c r="C42" s="32"/>
      <c r="D42" s="30"/>
      <c r="E42" s="163" t="str">
        <f>IF(D42="Yes, the community has requirements for both residential AND commercial buildings.",2,IF(D42="Yes, the community has requirements for residential OR commercial buildings.",1,IF(D42="No, the community does not have requirements.",0,"")))</f>
        <v/>
      </c>
      <c r="F42" s="72" t="s">
        <v>505</v>
      </c>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row>
    <row r="43" spans="1:41" ht="82.5" customHeight="1" outlineLevel="1" thickBot="1">
      <c r="A43" s="78" t="s">
        <v>393</v>
      </c>
      <c r="B43" s="362" t="s">
        <v>731</v>
      </c>
      <c r="C43" s="74"/>
      <c r="D43" s="104"/>
      <c r="E43" s="164" t="str">
        <f>IF(D43="","",VLOOKUP(D43,'Hidden Sheet'!A118:B124,2,FALSE))</f>
        <v/>
      </c>
      <c r="F43" s="76" t="s">
        <v>505</v>
      </c>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row>
    <row r="44" spans="1:41" s="50" customFormat="1" outlineLevel="1">
      <c r="A44" s="57"/>
      <c r="B44" s="358"/>
      <c r="C44" s="57"/>
      <c r="D44" s="57"/>
      <c r="E44" s="57"/>
      <c r="F44" s="99"/>
    </row>
    <row r="45" spans="1:41" s="50" customFormat="1" ht="21.75" thickBot="1">
      <c r="A45" s="59" t="s">
        <v>835</v>
      </c>
      <c r="B45" s="359"/>
      <c r="C45" s="49"/>
      <c r="D45" s="49"/>
      <c r="E45" s="49"/>
      <c r="F45" s="49"/>
    </row>
    <row r="46" spans="1:41" ht="47.25" customHeight="1" outlineLevel="1">
      <c r="A46" s="146" t="s">
        <v>58</v>
      </c>
      <c r="B46" s="360" t="s">
        <v>11</v>
      </c>
      <c r="C46" s="147" t="s">
        <v>9</v>
      </c>
      <c r="D46" s="147" t="s">
        <v>510</v>
      </c>
      <c r="E46" s="147" t="s">
        <v>1</v>
      </c>
      <c r="F46" s="304" t="s">
        <v>511</v>
      </c>
      <c r="G46" s="50"/>
      <c r="H46" s="50"/>
      <c r="I46" s="50"/>
      <c r="J46" s="50"/>
      <c r="K46" s="50"/>
      <c r="L46" s="50"/>
      <c r="M46" s="50"/>
      <c r="N46" s="50"/>
      <c r="O46" s="50"/>
      <c r="P46" s="50"/>
      <c r="Q46" s="50"/>
      <c r="R46" s="50"/>
      <c r="S46" s="50"/>
      <c r="T46" s="50"/>
      <c r="U46" s="50"/>
      <c r="V46" s="50"/>
      <c r="W46" s="50"/>
      <c r="X46" s="50"/>
      <c r="Y46" s="50"/>
      <c r="Z46" s="50"/>
      <c r="AA46" s="50"/>
      <c r="AB46" s="50"/>
      <c r="AC46" s="50"/>
      <c r="AD46" s="50"/>
      <c r="AE46" s="50"/>
      <c r="AF46" s="50"/>
      <c r="AG46" s="50"/>
      <c r="AH46" s="50"/>
      <c r="AI46" s="50"/>
      <c r="AJ46" s="50"/>
      <c r="AK46" s="50"/>
      <c r="AL46" s="50"/>
      <c r="AM46" s="50"/>
      <c r="AN46" s="50"/>
      <c r="AO46" s="50"/>
    </row>
    <row r="47" spans="1:41" ht="70.5" customHeight="1" outlineLevel="1">
      <c r="A47" s="398" t="s">
        <v>498</v>
      </c>
      <c r="B47" s="182" t="str">
        <f>IF(D14="City does not have legal authority.","Not applicable",IF(D14="City has legal authority.","Has the local government adopted a benchmarking and energy use transparency requirement for commercial buildings?","Not applicable"))</f>
        <v>Not applicable</v>
      </c>
      <c r="C47" s="32"/>
      <c r="D47" s="30"/>
      <c r="E47" s="166" t="str">
        <f>IF(D47=B108,1,IF(D47=C108,0,""))</f>
        <v/>
      </c>
      <c r="F47" s="90" t="s">
        <v>832</v>
      </c>
      <c r="G47" s="50"/>
      <c r="H47" s="50"/>
      <c r="I47" s="50"/>
      <c r="J47" s="50"/>
      <c r="K47" s="50"/>
      <c r="L47" s="50"/>
      <c r="M47" s="50"/>
      <c r="N47" s="50"/>
      <c r="O47" s="50"/>
      <c r="P47" s="50"/>
      <c r="Q47" s="50"/>
      <c r="R47" s="50"/>
      <c r="S47" s="50"/>
      <c r="T47" s="50"/>
      <c r="U47" s="50"/>
      <c r="V47" s="50"/>
      <c r="W47" s="50"/>
      <c r="X47" s="50"/>
      <c r="Y47" s="50"/>
      <c r="Z47" s="50"/>
      <c r="AA47" s="50"/>
      <c r="AB47" s="50"/>
      <c r="AC47" s="50"/>
      <c r="AD47" s="50"/>
      <c r="AE47" s="50"/>
      <c r="AF47" s="50"/>
      <c r="AG47" s="50"/>
      <c r="AH47" s="50"/>
      <c r="AI47" s="50"/>
      <c r="AJ47" s="50"/>
      <c r="AK47" s="50"/>
      <c r="AL47" s="50"/>
      <c r="AM47" s="50"/>
      <c r="AN47" s="50"/>
      <c r="AO47" s="50"/>
    </row>
    <row r="48" spans="1:41" ht="70.5" customHeight="1" outlineLevel="1">
      <c r="A48" s="411"/>
      <c r="B48" s="182" t="str">
        <f>IF($D$47=$C$108,"Does the city actively run a program that encourages private buildings owners to benchmark their energy use?","Non applicable")</f>
        <v>Non applicable</v>
      </c>
      <c r="C48" s="32"/>
      <c r="D48" s="30"/>
      <c r="E48" s="166" t="str">
        <f>IF(D48=B109,0.5,IF(D48=C109,0,""))</f>
        <v/>
      </c>
      <c r="F48" s="92" t="s">
        <v>505</v>
      </c>
      <c r="G48" s="50"/>
      <c r="H48" s="50"/>
      <c r="I48" s="50"/>
      <c r="J48" s="50"/>
      <c r="K48" s="50"/>
      <c r="L48" s="50"/>
      <c r="M48" s="50"/>
      <c r="N48" s="50"/>
      <c r="O48" s="50"/>
      <c r="P48" s="50"/>
      <c r="Q48" s="50"/>
      <c r="R48" s="50"/>
      <c r="S48" s="50"/>
      <c r="T48" s="50"/>
      <c r="U48" s="50"/>
      <c r="V48" s="50"/>
      <c r="W48" s="50"/>
      <c r="X48" s="50"/>
      <c r="Y48" s="50"/>
      <c r="Z48" s="50"/>
      <c r="AA48" s="50"/>
      <c r="AB48" s="50"/>
      <c r="AC48" s="50"/>
      <c r="AD48" s="50"/>
      <c r="AE48" s="50"/>
      <c r="AF48" s="50"/>
      <c r="AG48" s="50"/>
      <c r="AH48" s="50"/>
      <c r="AI48" s="50"/>
      <c r="AJ48" s="50"/>
      <c r="AK48" s="50"/>
      <c r="AL48" s="50"/>
      <c r="AM48" s="50"/>
      <c r="AN48" s="50"/>
      <c r="AO48" s="50"/>
    </row>
    <row r="49" spans="1:41" ht="70.5" customHeight="1" outlineLevel="1">
      <c r="A49" s="411"/>
      <c r="B49" s="182" t="str">
        <f>IF(D47=B108, "Is the city's benchmarking or energy use transparency requirement in effect?", "Not applicable")</f>
        <v>Not applicable</v>
      </c>
      <c r="C49" s="32"/>
      <c r="D49" s="30"/>
      <c r="E49" s="166" t="str">
        <f>IF(D49=B110,0.5,IF(D49=C110,0,""))</f>
        <v/>
      </c>
      <c r="F49" s="92" t="s">
        <v>505</v>
      </c>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50"/>
      <c r="AI49" s="50"/>
      <c r="AJ49" s="50"/>
      <c r="AK49" s="50"/>
      <c r="AL49" s="50"/>
      <c r="AM49" s="50"/>
      <c r="AN49" s="50"/>
      <c r="AO49" s="50"/>
    </row>
    <row r="50" spans="1:41" ht="70.5" customHeight="1" outlineLevel="1">
      <c r="A50" s="411"/>
      <c r="B50" s="182" t="str">
        <f>IF(D47=B108,"Does the city follow any recognized best practices? If so, how many?", "Not applicable")</f>
        <v>Not applicable</v>
      </c>
      <c r="C50" s="32"/>
      <c r="D50" s="344"/>
      <c r="E50" s="166" t="str">
        <f>IF(D50=B111,1.5,IF(D50=C111,1,IF(D50=D111,0.5,IF(D50=E111,0,""))))</f>
        <v/>
      </c>
      <c r="F50" s="92" t="s">
        <v>505</v>
      </c>
      <c r="G50" s="50"/>
      <c r="H50" s="50"/>
      <c r="I50" s="50"/>
      <c r="J50" s="50"/>
      <c r="K50" s="50"/>
      <c r="L50" s="50"/>
      <c r="M50" s="50"/>
      <c r="N50" s="50"/>
      <c r="O50" s="50"/>
      <c r="P50" s="50"/>
      <c r="Q50" s="50"/>
      <c r="R50" s="50"/>
      <c r="S50" s="50"/>
      <c r="T50" s="50"/>
      <c r="U50" s="50"/>
      <c r="V50" s="50"/>
      <c r="W50" s="50"/>
      <c r="X50" s="50"/>
      <c r="Y50" s="50"/>
      <c r="Z50" s="50"/>
      <c r="AA50" s="50"/>
      <c r="AB50" s="50"/>
      <c r="AC50" s="50"/>
      <c r="AD50" s="50"/>
      <c r="AE50" s="50"/>
      <c r="AF50" s="50"/>
      <c r="AG50" s="50"/>
      <c r="AH50" s="50"/>
      <c r="AI50" s="50"/>
      <c r="AJ50" s="50"/>
      <c r="AK50" s="50"/>
      <c r="AL50" s="50"/>
      <c r="AM50" s="50"/>
      <c r="AN50" s="50"/>
      <c r="AO50" s="50"/>
    </row>
    <row r="51" spans="1:41" ht="70.5" customHeight="1" outlineLevel="1">
      <c r="A51" s="411"/>
      <c r="B51" s="182" t="str">
        <f>IF(D47=C108,"Has the city implemented a voluntary benchmarking program for commercial buildings?", "Not applicable")</f>
        <v>Not applicable</v>
      </c>
      <c r="C51" s="32"/>
      <c r="D51" s="344"/>
      <c r="E51" s="166" t="str">
        <f>IF(D51=B112,0.5,IF(D51=C112,0,""))</f>
        <v/>
      </c>
      <c r="F51" s="92" t="s">
        <v>505</v>
      </c>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0"/>
      <c r="AN51" s="50"/>
      <c r="AO51" s="50"/>
    </row>
    <row r="52" spans="1:41" ht="60" customHeight="1" outlineLevel="1">
      <c r="A52" s="411"/>
      <c r="B52" s="182" t="str">
        <f>IF(D14="City does not have legal authority.","Has the city implemented a voluntary commercial benchmarking program?","Not applicable")</f>
        <v>Not applicable</v>
      </c>
      <c r="C52" s="32"/>
      <c r="D52" s="37"/>
      <c r="E52" s="166" t="str">
        <f>IF(D52=B112,2,IF(D52=C112,0,""))</f>
        <v/>
      </c>
      <c r="F52" s="92" t="s">
        <v>505</v>
      </c>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c r="AJ52" s="50"/>
      <c r="AK52" s="50"/>
      <c r="AL52" s="50"/>
      <c r="AM52" s="50"/>
      <c r="AN52" s="50"/>
      <c r="AO52" s="50"/>
    </row>
    <row r="53" spans="1:41" ht="84.75" customHeight="1" outlineLevel="1">
      <c r="A53" s="411"/>
      <c r="B53" s="182" t="str">
        <f>IF(D14="City does not have legal authority.","Does the city offer assistance to building owners for meeting building energy program metrics?","Not applicable")</f>
        <v>Not applicable</v>
      </c>
      <c r="C53" s="32"/>
      <c r="D53" s="30"/>
      <c r="E53" s="166" t="str">
        <f>IF(D53=B113,1,IF(D53=C113,0,""))</f>
        <v/>
      </c>
      <c r="F53" s="92" t="s">
        <v>505</v>
      </c>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c r="AJ53" s="50"/>
      <c r="AK53" s="50"/>
      <c r="AL53" s="50"/>
      <c r="AM53" s="50"/>
      <c r="AN53" s="50"/>
      <c r="AO53" s="50"/>
    </row>
    <row r="54" spans="1:41" ht="64.5" customHeight="1" outlineLevel="1">
      <c r="A54" s="398" t="s">
        <v>499</v>
      </c>
      <c r="B54" s="182" t="str">
        <f>IF($D$13="City does not have legal authority.","Not applicable",IF($D$13="City has legal authority.","Has the local government adopted a benchmarking and energy use transparency requirement for residential buildings?","Not applicable"))</f>
        <v>Not applicable</v>
      </c>
      <c r="C54" s="32"/>
      <c r="D54" s="37"/>
      <c r="E54" s="166" t="str">
        <f>IF(D54=B114,1,IF(D54=C114,0,""))</f>
        <v/>
      </c>
      <c r="F54" s="90" t="s">
        <v>832</v>
      </c>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c r="AJ54" s="50"/>
      <c r="AK54" s="50"/>
      <c r="AL54" s="50"/>
      <c r="AM54" s="50"/>
      <c r="AN54" s="50"/>
      <c r="AO54" s="50"/>
    </row>
    <row r="55" spans="1:41" ht="64.5" customHeight="1" outlineLevel="1">
      <c r="A55" s="411"/>
      <c r="B55" s="182" t="str">
        <f>IF($D$54=$C$114,"Does the city actively run a program that encourages private buildings owners to benchmark their energy use?","Non applicable")</f>
        <v>Non applicable</v>
      </c>
      <c r="C55" s="32"/>
      <c r="D55" s="37"/>
      <c r="E55" s="166" t="str">
        <f>IF(D55=B115,0.5,IF(D55=C115,0,""))</f>
        <v/>
      </c>
      <c r="F55" s="92" t="s">
        <v>505</v>
      </c>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c r="AJ55" s="50"/>
      <c r="AK55" s="50"/>
      <c r="AL55" s="50"/>
      <c r="AM55" s="50"/>
      <c r="AN55" s="50"/>
      <c r="AO55" s="50"/>
    </row>
    <row r="56" spans="1:41" ht="64.5" customHeight="1" outlineLevel="1">
      <c r="A56" s="411"/>
      <c r="B56" s="182" t="str">
        <f>IF(D54=B114,"Is your city's residential benchmarking or energy use transparency requirement in effect?","Not applicable")</f>
        <v>Not applicable</v>
      </c>
      <c r="C56" s="32"/>
      <c r="D56" s="37"/>
      <c r="E56" s="166" t="str">
        <f>IF(D56=B116,0.5,IF(D56=C116,0,""))</f>
        <v/>
      </c>
      <c r="F56" s="92" t="s">
        <v>505</v>
      </c>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M56" s="50"/>
      <c r="AN56" s="50"/>
      <c r="AO56" s="50"/>
    </row>
    <row r="57" spans="1:41" ht="64.5" customHeight="1" outlineLevel="1">
      <c r="A57" s="411"/>
      <c r="B57" s="182" t="str">
        <f>IF(D54=B114,"Does the city follow any recognized best practices for residential benchmarking? If so, how many?","Not applicable")</f>
        <v>Not applicable</v>
      </c>
      <c r="C57" s="32"/>
      <c r="D57" s="37"/>
      <c r="E57" s="166" t="str">
        <f>IF(D57=B117,1.5,IF(D57=C117,1,IF(D57=D117,0.5,IF(D57=E117,0,IF(D57="","")))))</f>
        <v/>
      </c>
      <c r="F57" s="92" t="s">
        <v>505</v>
      </c>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50"/>
      <c r="AN57" s="50"/>
      <c r="AO57" s="50"/>
    </row>
    <row r="58" spans="1:41" ht="64.5" customHeight="1" outlineLevel="1">
      <c r="A58" s="411"/>
      <c r="B58" s="182" t="str">
        <f>IF(D54=C114,"Has the city implemented a voluntary benchmarking program for residential buildings?","Non applicable.")</f>
        <v>Non applicable.</v>
      </c>
      <c r="C58" s="32"/>
      <c r="D58" s="37"/>
      <c r="E58" s="166" t="str">
        <f>IF(D58=B118,0.5,IF(D58=C118,0,""))</f>
        <v/>
      </c>
      <c r="F58" s="92" t="s">
        <v>505</v>
      </c>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0"/>
      <c r="AG58" s="50"/>
      <c r="AH58" s="50"/>
      <c r="AI58" s="50"/>
      <c r="AJ58" s="50"/>
      <c r="AK58" s="50"/>
      <c r="AL58" s="50"/>
      <c r="AM58" s="50"/>
      <c r="AN58" s="50"/>
      <c r="AO58" s="50"/>
    </row>
    <row r="59" spans="1:41" ht="64.5" customHeight="1" outlineLevel="1">
      <c r="A59" s="411"/>
      <c r="B59" s="182" t="str">
        <f>IF(D13="City does not have legal authority.","Has the city implemented a voluntary residential benchmarking program for residential buildings?","Not applicable")</f>
        <v>Not applicable</v>
      </c>
      <c r="C59" s="32"/>
      <c r="D59" s="37"/>
      <c r="E59" s="166" t="str">
        <f>IF(D59=B118,2,IF(D59=C118,0,""))</f>
        <v/>
      </c>
      <c r="F59" s="92" t="s">
        <v>505</v>
      </c>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c r="AH59" s="50"/>
      <c r="AI59" s="50"/>
      <c r="AJ59" s="50"/>
      <c r="AK59" s="50"/>
      <c r="AL59" s="50"/>
      <c r="AM59" s="50"/>
      <c r="AN59" s="50"/>
      <c r="AO59" s="50"/>
    </row>
    <row r="60" spans="1:41" ht="71.25" customHeight="1" outlineLevel="1">
      <c r="A60" s="411"/>
      <c r="B60" s="182" t="str">
        <f>IF(D13="City has legal authority.","Not applicable",IF(D13="City does not have legal authority.","Does the city offer assistance to building owners for meeting building energy performance metrics?","Not applicable"))</f>
        <v>Not applicable</v>
      </c>
      <c r="C60" s="32"/>
      <c r="D60" s="37"/>
      <c r="E60" s="166" t="str">
        <f>IF(D60=B119,1,IF(D60=C119,0,""))</f>
        <v/>
      </c>
      <c r="F60" s="92" t="s">
        <v>505</v>
      </c>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row>
    <row r="61" spans="1:41" ht="45.75" customHeight="1" outlineLevel="1" thickBot="1">
      <c r="A61" s="399"/>
      <c r="B61" s="362" t="str">
        <f>IF(SUM(E54:E60)=3,"Maximum points awarded",IF(B59="Not applicable","Not applicable","Does the Multiple Listing Service (MLS) that serves the metro area include fields for the energy efficiency of homes?"))</f>
        <v>Not applicable</v>
      </c>
      <c r="C61" s="74"/>
      <c r="D61" s="75"/>
      <c r="E61" s="164" t="str">
        <f>IF(D61=B120,0.5,IF(D61=C120,0,""))</f>
        <v/>
      </c>
      <c r="F61" s="76" t="s">
        <v>505</v>
      </c>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row>
    <row r="62" spans="1:41" s="50" customFormat="1" hidden="1" outlineLevel="1">
      <c r="A62" s="227"/>
      <c r="B62" s="58"/>
      <c r="C62" s="54"/>
      <c r="D62" s="101"/>
      <c r="E62" s="56"/>
      <c r="F62" s="102"/>
    </row>
    <row r="63" spans="1:41" s="50" customFormat="1" hidden="1"/>
    <row r="64" spans="1:41" s="50" customFormat="1" outlineLevel="1"/>
    <row r="65" spans="1:41" s="50" customFormat="1" ht="15.75" outlineLevel="1" thickBot="1">
      <c r="G65" s="80"/>
    </row>
    <row r="66" spans="1:41" ht="15.75" outlineLevel="1" thickBot="1">
      <c r="A66" s="281" t="s">
        <v>539</v>
      </c>
      <c r="B66" s="50"/>
      <c r="D66" s="67" t="s">
        <v>480</v>
      </c>
      <c r="E66" s="187">
        <f>SUM(E18:E61)</f>
        <v>0</v>
      </c>
      <c r="F66" s="50"/>
      <c r="G66" s="80"/>
      <c r="H66" s="50"/>
      <c r="I66" s="50"/>
      <c r="L66" s="50"/>
      <c r="M66" s="50"/>
      <c r="N66" s="50"/>
      <c r="O66" s="50"/>
      <c r="P66" s="50"/>
      <c r="Q66" s="50"/>
      <c r="R66" s="50"/>
      <c r="S66" s="50"/>
      <c r="T66" s="50"/>
      <c r="U66" s="50"/>
      <c r="V66" s="50"/>
      <c r="W66" s="50"/>
      <c r="X66" s="50"/>
      <c r="Y66" s="50"/>
      <c r="Z66" s="50"/>
      <c r="AA66" s="50"/>
      <c r="AB66" s="50"/>
      <c r="AC66" s="50"/>
      <c r="AD66" s="50"/>
      <c r="AE66" s="50"/>
      <c r="AF66" s="50"/>
      <c r="AG66" s="50"/>
      <c r="AH66" s="50"/>
      <c r="AI66" s="50"/>
      <c r="AJ66" s="50"/>
      <c r="AK66" s="50"/>
      <c r="AL66" s="50"/>
      <c r="AM66" s="50"/>
      <c r="AN66" s="50"/>
      <c r="AO66" s="50"/>
    </row>
    <row r="67" spans="1:41" s="50" customFormat="1" outlineLevel="1">
      <c r="G67" s="80"/>
    </row>
    <row r="68" spans="1:41" s="50" customFormat="1"/>
    <row r="69" spans="1:41" s="50" customFormat="1" outlineLevel="1"/>
    <row r="70" spans="1:41" outlineLevel="1">
      <c r="A70" s="50"/>
      <c r="B70" s="50"/>
      <c r="D70" s="50"/>
      <c r="E70" s="50"/>
      <c r="F70" s="50"/>
      <c r="G70" s="50"/>
      <c r="H70" s="50"/>
      <c r="I70" s="50"/>
      <c r="L70" s="50"/>
      <c r="M70" s="50"/>
      <c r="N70" s="50"/>
      <c r="O70" s="50"/>
      <c r="P70" s="50"/>
      <c r="Q70" s="50"/>
      <c r="R70" s="50"/>
      <c r="S70" s="50"/>
      <c r="T70" s="50"/>
      <c r="U70" s="50"/>
      <c r="V70" s="50"/>
      <c r="W70" s="50"/>
      <c r="X70" s="50"/>
      <c r="Y70" s="50"/>
      <c r="Z70" s="50"/>
      <c r="AA70" s="50"/>
      <c r="AB70" s="50"/>
      <c r="AC70" s="50"/>
      <c r="AD70" s="50"/>
      <c r="AE70" s="50"/>
      <c r="AF70" s="50"/>
      <c r="AG70" s="50"/>
      <c r="AH70" s="50"/>
      <c r="AI70" s="50"/>
      <c r="AJ70" s="50"/>
      <c r="AK70" s="50"/>
      <c r="AL70" s="50"/>
      <c r="AM70" s="50"/>
      <c r="AN70" s="50"/>
      <c r="AO70" s="50"/>
    </row>
    <row r="71" spans="1:41" s="50" customFormat="1" outlineLevel="1"/>
    <row r="72" spans="1:41" s="50" customFormat="1" outlineLevel="1"/>
    <row r="73" spans="1:41" s="50" customFormat="1"/>
    <row r="74" spans="1:41" s="50" customFormat="1" outlineLevel="1"/>
    <row r="75" spans="1:41" s="50" customFormat="1" outlineLevel="1"/>
    <row r="76" spans="1:41" s="50" customFormat="1" outlineLevel="1"/>
    <row r="77" spans="1:41" s="50" customFormat="1" outlineLevel="1"/>
    <row r="78" spans="1:41" s="50" customFormat="1"/>
    <row r="79" spans="1:41" s="50" customFormat="1" outlineLevel="1"/>
    <row r="80" spans="1:41" s="50" customFormat="1" ht="15.75" customHeight="1" outlineLevel="1"/>
    <row r="81" spans="1:41" s="50" customFormat="1" ht="15.75" customHeight="1" outlineLevel="1"/>
    <row r="82" spans="1:41" s="50" customFormat="1" ht="15.2" customHeight="1" outlineLevel="1"/>
    <row r="83" spans="1:41" s="50" customFormat="1" ht="15.2" customHeight="1" outlineLevel="1"/>
    <row r="84" spans="1:41" s="50" customFormat="1" hidden="1">
      <c r="A84" s="259" t="s">
        <v>790</v>
      </c>
      <c r="C84" s="57"/>
    </row>
    <row r="85" spans="1:41" s="50" customFormat="1" hidden="1"/>
    <row r="86" spans="1:41" s="50" customFormat="1" hidden="1">
      <c r="A86" s="259" t="s">
        <v>635</v>
      </c>
      <c r="B86" s="259" t="s">
        <v>600</v>
      </c>
      <c r="C86" s="259" t="s">
        <v>601</v>
      </c>
      <c r="D86" s="259" t="s">
        <v>602</v>
      </c>
      <c r="E86" s="259" t="s">
        <v>603</v>
      </c>
    </row>
    <row r="87" spans="1:41" customFormat="1" ht="15.75" hidden="1" thickBot="1">
      <c r="A87" s="80"/>
      <c r="B87" s="345"/>
      <c r="C87" s="80"/>
      <c r="D87" s="80"/>
      <c r="E87" s="80"/>
      <c r="F87" s="80"/>
      <c r="G87" s="80"/>
      <c r="H87" s="80"/>
      <c r="I87" s="80"/>
      <c r="J87" s="80"/>
      <c r="K87" s="80"/>
      <c r="L87" s="50"/>
      <c r="M87" s="50"/>
      <c r="N87" s="50"/>
      <c r="O87" s="50"/>
      <c r="P87" s="50"/>
      <c r="Q87" s="50"/>
      <c r="R87" s="50"/>
      <c r="S87" s="50"/>
      <c r="T87" s="50"/>
      <c r="U87" s="50"/>
      <c r="V87" s="50"/>
      <c r="W87" s="50"/>
      <c r="X87" s="50"/>
      <c r="Y87" s="50"/>
      <c r="Z87" s="50"/>
      <c r="AA87" s="50"/>
      <c r="AB87" s="50"/>
      <c r="AC87" s="50"/>
      <c r="AD87" s="50"/>
      <c r="AE87" s="50"/>
      <c r="AF87" s="50"/>
      <c r="AG87" s="50"/>
      <c r="AH87" s="50"/>
      <c r="AI87" s="50"/>
      <c r="AJ87" s="50"/>
      <c r="AK87" s="50"/>
      <c r="AL87" s="50"/>
      <c r="AM87" s="50"/>
      <c r="AN87" s="50"/>
      <c r="AO87" s="50"/>
    </row>
    <row r="88" spans="1:41" customFormat="1" ht="15.75" hidden="1" thickBot="1">
      <c r="A88" s="119" t="s">
        <v>963</v>
      </c>
      <c r="B88" s="346" t="s">
        <v>967</v>
      </c>
      <c r="C88" s="347" t="s">
        <v>968</v>
      </c>
      <c r="D88" s="347" t="s">
        <v>969</v>
      </c>
      <c r="E88" s="80"/>
      <c r="F88" s="80"/>
      <c r="G88" s="80"/>
      <c r="H88" s="80"/>
      <c r="I88" s="80"/>
      <c r="J88" s="80"/>
      <c r="K88" s="80"/>
      <c r="L88" s="50"/>
      <c r="M88" s="50"/>
      <c r="N88" s="50"/>
      <c r="O88" s="50"/>
      <c r="P88" s="50"/>
      <c r="Q88" s="50"/>
      <c r="R88" s="50"/>
      <c r="S88" s="50"/>
      <c r="T88" s="50"/>
      <c r="U88" s="50"/>
      <c r="V88" s="50"/>
      <c r="W88" s="50"/>
      <c r="X88" s="50"/>
      <c r="Y88" s="50"/>
      <c r="Z88" s="50"/>
      <c r="AA88" s="50"/>
      <c r="AB88" s="50"/>
      <c r="AC88" s="50"/>
      <c r="AD88" s="50"/>
      <c r="AE88" s="50"/>
      <c r="AF88" s="50"/>
      <c r="AG88" s="50"/>
      <c r="AH88" s="50"/>
      <c r="AI88" s="50"/>
      <c r="AJ88" s="50"/>
      <c r="AK88" s="50"/>
      <c r="AL88" s="50"/>
      <c r="AM88" s="50"/>
      <c r="AN88" s="50"/>
      <c r="AO88" s="50"/>
    </row>
    <row r="89" spans="1:41" customFormat="1" ht="15.75" hidden="1" thickBot="1">
      <c r="A89" s="119" t="s">
        <v>964</v>
      </c>
      <c r="B89" s="346" t="s">
        <v>810</v>
      </c>
      <c r="C89" s="347" t="s">
        <v>809</v>
      </c>
      <c r="D89" s="80"/>
      <c r="E89" s="80"/>
      <c r="F89" s="80"/>
      <c r="G89" s="50"/>
      <c r="H89" s="80"/>
      <c r="I89" s="80"/>
      <c r="J89" s="80"/>
      <c r="K89" s="80"/>
      <c r="L89" s="50"/>
      <c r="M89" s="50"/>
      <c r="N89" s="50"/>
      <c r="O89" s="50"/>
      <c r="P89" s="50"/>
      <c r="Q89" s="50"/>
      <c r="R89" s="50"/>
      <c r="S89" s="50"/>
      <c r="T89" s="50"/>
      <c r="U89" s="50"/>
      <c r="V89" s="50"/>
      <c r="W89" s="50"/>
      <c r="X89" s="50"/>
      <c r="Y89" s="50"/>
      <c r="Z89" s="50"/>
      <c r="AA89" s="50"/>
      <c r="AB89" s="50"/>
      <c r="AC89" s="50"/>
      <c r="AD89" s="50"/>
      <c r="AE89" s="50"/>
      <c r="AF89" s="50"/>
      <c r="AG89" s="50"/>
      <c r="AH89" s="50"/>
      <c r="AI89" s="50"/>
      <c r="AJ89" s="50"/>
      <c r="AK89" s="50"/>
      <c r="AL89" s="50"/>
      <c r="AM89" s="50"/>
      <c r="AN89" s="50"/>
      <c r="AO89" s="50"/>
    </row>
    <row r="90" spans="1:41" customFormat="1" ht="15.75" hidden="1" thickBot="1">
      <c r="A90" s="119" t="s">
        <v>414</v>
      </c>
      <c r="B90" s="346" t="s">
        <v>970</v>
      </c>
      <c r="C90" s="347" t="s">
        <v>973</v>
      </c>
      <c r="D90" s="347" t="s">
        <v>971</v>
      </c>
      <c r="E90" s="347" t="s">
        <v>972</v>
      </c>
      <c r="F90" s="347" t="s">
        <v>974</v>
      </c>
      <c r="G90" s="80"/>
      <c r="H90" s="80"/>
      <c r="I90" s="80"/>
      <c r="J90" s="80"/>
      <c r="K90" s="80"/>
      <c r="L90" s="50"/>
      <c r="M90" s="50"/>
      <c r="N90" s="50"/>
      <c r="O90" s="50"/>
      <c r="P90" s="50"/>
      <c r="Q90" s="50"/>
      <c r="R90" s="50"/>
      <c r="S90" s="50"/>
      <c r="T90" s="50"/>
      <c r="U90" s="50"/>
      <c r="V90" s="50"/>
      <c r="W90" s="50"/>
      <c r="X90" s="50"/>
      <c r="Y90" s="50"/>
      <c r="Z90" s="50"/>
      <c r="AA90" s="50"/>
      <c r="AB90" s="50"/>
      <c r="AC90" s="50"/>
      <c r="AD90" s="50"/>
      <c r="AE90" s="50"/>
      <c r="AF90" s="50"/>
      <c r="AG90" s="50"/>
      <c r="AH90" s="50"/>
      <c r="AI90" s="50"/>
      <c r="AJ90" s="50"/>
      <c r="AK90" s="50"/>
      <c r="AL90" s="50"/>
      <c r="AM90" s="50"/>
      <c r="AN90" s="50"/>
      <c r="AO90" s="50"/>
    </row>
    <row r="91" spans="1:41" customFormat="1" ht="15.75" hidden="1" thickBot="1">
      <c r="A91" s="119" t="s">
        <v>415</v>
      </c>
      <c r="B91" s="346" t="s">
        <v>975</v>
      </c>
      <c r="C91" s="347" t="s">
        <v>976</v>
      </c>
      <c r="D91" s="347" t="s">
        <v>1012</v>
      </c>
      <c r="E91" s="347" t="s">
        <v>972</v>
      </c>
      <c r="F91" s="347" t="s">
        <v>977</v>
      </c>
      <c r="G91" s="348" t="s">
        <v>978</v>
      </c>
      <c r="H91" s="80"/>
      <c r="I91" s="80"/>
      <c r="J91" s="80"/>
      <c r="K91" s="80"/>
      <c r="L91" s="50"/>
      <c r="M91" s="50"/>
      <c r="N91" s="50"/>
      <c r="O91" s="50"/>
      <c r="P91" s="50"/>
      <c r="Q91" s="50"/>
      <c r="R91" s="50"/>
      <c r="S91" s="50"/>
      <c r="T91" s="50"/>
      <c r="U91" s="50"/>
      <c r="V91" s="50"/>
      <c r="W91" s="50"/>
      <c r="X91" s="50"/>
      <c r="Y91" s="50"/>
      <c r="Z91" s="50"/>
      <c r="AA91" s="50"/>
      <c r="AB91" s="50"/>
      <c r="AC91" s="50"/>
      <c r="AD91" s="50"/>
      <c r="AE91" s="50"/>
      <c r="AF91" s="50"/>
      <c r="AG91" s="50"/>
      <c r="AH91" s="50"/>
      <c r="AI91" s="50"/>
      <c r="AJ91" s="50"/>
      <c r="AK91" s="50"/>
      <c r="AL91" s="50"/>
      <c r="AM91" s="50"/>
      <c r="AN91" s="50"/>
      <c r="AO91" s="50"/>
    </row>
    <row r="92" spans="1:41" customFormat="1" ht="15.75" hidden="1" thickBot="1">
      <c r="A92" s="119" t="s">
        <v>416</v>
      </c>
      <c r="B92" s="346" t="s">
        <v>979</v>
      </c>
      <c r="C92" s="347" t="s">
        <v>1013</v>
      </c>
      <c r="D92" s="347" t="s">
        <v>971</v>
      </c>
      <c r="E92" s="347" t="s">
        <v>972</v>
      </c>
      <c r="F92" s="347" t="s">
        <v>980</v>
      </c>
      <c r="G92" s="80"/>
      <c r="H92" s="80"/>
      <c r="I92" s="80"/>
      <c r="J92" s="80"/>
      <c r="K92" s="80"/>
      <c r="L92" s="50"/>
      <c r="M92" s="50"/>
      <c r="N92" s="50"/>
      <c r="O92" s="50"/>
      <c r="P92" s="50"/>
      <c r="Q92" s="50"/>
      <c r="R92" s="50"/>
      <c r="S92" s="50"/>
      <c r="T92" s="50"/>
      <c r="U92" s="50"/>
      <c r="V92" s="50"/>
      <c r="W92" s="50"/>
      <c r="X92" s="50"/>
      <c r="Y92" s="50"/>
      <c r="Z92" s="50"/>
      <c r="AA92" s="50"/>
      <c r="AB92" s="50"/>
      <c r="AC92" s="50"/>
      <c r="AD92" s="50"/>
      <c r="AE92" s="50"/>
      <c r="AF92" s="50"/>
      <c r="AG92" s="50"/>
      <c r="AH92" s="50"/>
      <c r="AI92" s="50"/>
      <c r="AJ92" s="50"/>
      <c r="AK92" s="50"/>
      <c r="AL92" s="50"/>
      <c r="AM92" s="50"/>
      <c r="AN92" s="50"/>
      <c r="AO92" s="50"/>
    </row>
    <row r="93" spans="1:41" customFormat="1" ht="15.75" hidden="1" thickBot="1">
      <c r="A93" s="119" t="s">
        <v>417</v>
      </c>
      <c r="B93" s="346" t="s">
        <v>981</v>
      </c>
      <c r="C93" s="347" t="s">
        <v>982</v>
      </c>
      <c r="D93" s="80"/>
      <c r="E93" s="80"/>
      <c r="F93" s="80"/>
      <c r="G93" s="50"/>
      <c r="H93" s="80"/>
      <c r="I93" s="80"/>
      <c r="J93" s="80"/>
      <c r="K93" s="80"/>
      <c r="L93" s="50"/>
      <c r="M93" s="50"/>
      <c r="N93" s="50"/>
      <c r="O93" s="50"/>
      <c r="P93" s="50"/>
      <c r="Q93" s="50"/>
      <c r="R93" s="50"/>
      <c r="S93" s="50"/>
      <c r="T93" s="50"/>
      <c r="U93" s="50"/>
      <c r="V93" s="50"/>
      <c r="W93" s="50"/>
      <c r="X93" s="50"/>
      <c r="Y93" s="50"/>
      <c r="Z93" s="50"/>
      <c r="AA93" s="50"/>
      <c r="AB93" s="50"/>
      <c r="AC93" s="50"/>
      <c r="AD93" s="50"/>
      <c r="AE93" s="50"/>
      <c r="AF93" s="50"/>
      <c r="AG93" s="50"/>
      <c r="AH93" s="50"/>
      <c r="AI93" s="50"/>
      <c r="AJ93" s="50"/>
      <c r="AK93" s="50"/>
      <c r="AL93" s="50"/>
      <c r="AM93" s="50"/>
      <c r="AN93" s="50"/>
      <c r="AO93" s="50"/>
    </row>
    <row r="94" spans="1:41" customFormat="1" ht="15.75" hidden="1" thickBot="1">
      <c r="A94" s="119" t="s">
        <v>418</v>
      </c>
      <c r="B94" s="346" t="s">
        <v>983</v>
      </c>
      <c r="C94" s="347" t="s">
        <v>984</v>
      </c>
      <c r="D94" s="347" t="s">
        <v>985</v>
      </c>
      <c r="E94" s="347" t="s">
        <v>986</v>
      </c>
      <c r="F94" s="50"/>
      <c r="G94" s="80"/>
      <c r="H94" s="80"/>
      <c r="I94" s="80"/>
      <c r="J94" s="80"/>
      <c r="K94" s="80"/>
      <c r="L94" s="50"/>
      <c r="M94" s="50"/>
      <c r="N94" s="50"/>
      <c r="O94" s="50"/>
      <c r="P94" s="50"/>
      <c r="Q94" s="50"/>
      <c r="R94" s="50"/>
      <c r="S94" s="50"/>
      <c r="T94" s="50"/>
      <c r="U94" s="50"/>
      <c r="V94" s="50"/>
      <c r="W94" s="50"/>
      <c r="X94" s="50"/>
      <c r="Y94" s="50"/>
      <c r="Z94" s="50"/>
      <c r="AA94" s="50"/>
      <c r="AB94" s="50"/>
      <c r="AC94" s="50"/>
      <c r="AD94" s="50"/>
      <c r="AE94" s="50"/>
      <c r="AF94" s="50"/>
      <c r="AG94" s="50"/>
      <c r="AH94" s="50"/>
      <c r="AI94" s="50"/>
      <c r="AJ94" s="50"/>
      <c r="AK94" s="50"/>
      <c r="AL94" s="50"/>
      <c r="AM94" s="50"/>
      <c r="AN94" s="50"/>
      <c r="AO94" s="50"/>
    </row>
    <row r="95" spans="1:41" customFormat="1" ht="15.75" hidden="1" thickBot="1">
      <c r="A95" s="119" t="s">
        <v>419</v>
      </c>
      <c r="B95" s="346" t="s">
        <v>987</v>
      </c>
      <c r="C95" s="347" t="s">
        <v>988</v>
      </c>
      <c r="D95" s="347" t="s">
        <v>989</v>
      </c>
      <c r="E95" s="347" t="s">
        <v>990</v>
      </c>
      <c r="F95" s="347" t="s">
        <v>808</v>
      </c>
      <c r="G95" s="80"/>
      <c r="H95" s="80"/>
      <c r="I95" s="80"/>
      <c r="J95" s="80"/>
      <c r="K95" s="80"/>
      <c r="L95" s="50"/>
      <c r="M95" s="50"/>
      <c r="N95" s="50"/>
      <c r="O95" s="50"/>
      <c r="P95" s="50"/>
      <c r="Q95" s="50"/>
      <c r="R95" s="50"/>
      <c r="S95" s="50"/>
      <c r="T95" s="50"/>
      <c r="U95" s="50"/>
      <c r="V95" s="50"/>
      <c r="W95" s="50"/>
      <c r="X95" s="50"/>
      <c r="Y95" s="50"/>
      <c r="Z95" s="50"/>
      <c r="AA95" s="50"/>
      <c r="AB95" s="50"/>
      <c r="AC95" s="50"/>
      <c r="AD95" s="50"/>
      <c r="AE95" s="50"/>
      <c r="AF95" s="50"/>
      <c r="AG95" s="50"/>
      <c r="AH95" s="50"/>
      <c r="AI95" s="50"/>
      <c r="AJ95" s="50"/>
      <c r="AK95" s="50"/>
      <c r="AL95" s="50"/>
      <c r="AM95" s="50"/>
      <c r="AN95" s="50"/>
      <c r="AO95" s="50"/>
    </row>
    <row r="96" spans="1:41" customFormat="1" ht="15.75" hidden="1" thickBot="1">
      <c r="A96" s="119" t="s">
        <v>436</v>
      </c>
      <c r="B96" s="346" t="s">
        <v>991</v>
      </c>
      <c r="C96" s="347" t="s">
        <v>984</v>
      </c>
      <c r="D96" s="347" t="s">
        <v>985</v>
      </c>
      <c r="E96" s="347" t="s">
        <v>986</v>
      </c>
      <c r="F96" s="80"/>
      <c r="G96" s="80"/>
      <c r="H96" s="80"/>
      <c r="I96" s="80"/>
      <c r="J96" s="80"/>
      <c r="K96" s="80"/>
      <c r="L96" s="50"/>
      <c r="M96" s="50"/>
      <c r="N96" s="50"/>
      <c r="O96" s="50"/>
      <c r="P96" s="50"/>
      <c r="Q96" s="50"/>
      <c r="R96" s="50"/>
      <c r="S96" s="50"/>
      <c r="T96" s="50"/>
      <c r="U96" s="50"/>
      <c r="V96" s="50"/>
      <c r="W96" s="50"/>
      <c r="X96" s="50"/>
      <c r="Y96" s="50"/>
      <c r="Z96" s="50"/>
      <c r="AA96" s="50"/>
      <c r="AB96" s="50"/>
      <c r="AC96" s="50"/>
      <c r="AD96" s="50"/>
      <c r="AE96" s="50"/>
      <c r="AF96" s="50"/>
      <c r="AG96" s="50"/>
      <c r="AH96" s="50"/>
      <c r="AI96" s="50"/>
      <c r="AJ96" s="50"/>
      <c r="AK96" s="50"/>
      <c r="AL96" s="50"/>
      <c r="AM96" s="50"/>
      <c r="AN96" s="50"/>
      <c r="AO96" s="50"/>
    </row>
    <row r="97" spans="1:41" customFormat="1" ht="15.75" hidden="1" thickBot="1">
      <c r="A97" s="119" t="s">
        <v>434</v>
      </c>
      <c r="B97" s="346" t="s">
        <v>981</v>
      </c>
      <c r="C97" s="347" t="s">
        <v>982</v>
      </c>
      <c r="D97" s="80"/>
      <c r="E97" s="80"/>
      <c r="F97" s="80"/>
      <c r="G97" s="50"/>
      <c r="H97" s="50"/>
      <c r="I97" s="80"/>
      <c r="J97" s="80"/>
      <c r="K97" s="80"/>
      <c r="L97" s="50"/>
      <c r="M97" s="50"/>
      <c r="N97" s="50"/>
      <c r="O97" s="50"/>
      <c r="P97" s="50"/>
      <c r="Q97" s="50"/>
      <c r="R97" s="50"/>
      <c r="S97" s="50"/>
      <c r="T97" s="50"/>
      <c r="U97" s="50"/>
      <c r="V97" s="50"/>
      <c r="W97" s="50"/>
      <c r="X97" s="50"/>
      <c r="Y97" s="50"/>
      <c r="Z97" s="50"/>
      <c r="AA97" s="50"/>
      <c r="AB97" s="50"/>
      <c r="AC97" s="50"/>
      <c r="AD97" s="50"/>
      <c r="AE97" s="50"/>
      <c r="AF97" s="50"/>
      <c r="AG97" s="50"/>
      <c r="AH97" s="50"/>
      <c r="AI97" s="50"/>
      <c r="AJ97" s="50"/>
      <c r="AK97" s="50"/>
      <c r="AL97" s="50"/>
      <c r="AM97" s="50"/>
      <c r="AN97" s="50"/>
      <c r="AO97" s="50"/>
    </row>
    <row r="98" spans="1:41" customFormat="1" ht="15.75" hidden="1" thickBot="1">
      <c r="A98" s="119" t="s">
        <v>435</v>
      </c>
      <c r="B98" s="349" t="s">
        <v>710</v>
      </c>
      <c r="C98" s="348" t="s">
        <v>711</v>
      </c>
      <c r="D98" s="80"/>
      <c r="E98" s="80"/>
      <c r="F98" s="80"/>
      <c r="G98" s="50"/>
      <c r="H98" s="50"/>
      <c r="I98" s="80"/>
      <c r="J98" s="80"/>
      <c r="K98" s="80"/>
      <c r="L98" s="50"/>
      <c r="M98" s="50"/>
      <c r="N98" s="50"/>
      <c r="O98" s="50"/>
      <c r="P98" s="50"/>
      <c r="Q98" s="50"/>
      <c r="R98" s="50"/>
      <c r="S98" s="50"/>
      <c r="T98" s="50"/>
      <c r="U98" s="50"/>
      <c r="V98" s="50"/>
      <c r="W98" s="50"/>
      <c r="X98" s="50"/>
      <c r="Y98" s="50"/>
      <c r="Z98" s="50"/>
      <c r="AA98" s="50"/>
      <c r="AB98" s="50"/>
      <c r="AC98" s="50"/>
      <c r="AD98" s="50"/>
      <c r="AE98" s="50"/>
      <c r="AF98" s="50"/>
      <c r="AG98" s="50"/>
      <c r="AH98" s="50"/>
      <c r="AI98" s="50"/>
      <c r="AJ98" s="50"/>
      <c r="AK98" s="50"/>
      <c r="AL98" s="50"/>
      <c r="AM98" s="50"/>
      <c r="AN98" s="50"/>
      <c r="AO98" s="50"/>
    </row>
    <row r="99" spans="1:41" customFormat="1" ht="15.75" hidden="1" thickBot="1">
      <c r="A99" s="119" t="s">
        <v>424</v>
      </c>
      <c r="B99" s="346" t="s">
        <v>992</v>
      </c>
      <c r="C99" s="347" t="s">
        <v>993</v>
      </c>
      <c r="D99" s="80"/>
      <c r="E99" s="50"/>
      <c r="F99" s="80"/>
      <c r="G99" s="80"/>
      <c r="H99" s="80"/>
      <c r="I99" s="80"/>
      <c r="J99" s="80"/>
      <c r="K99" s="80"/>
      <c r="L99" s="50"/>
      <c r="M99" s="50"/>
      <c r="N99" s="50"/>
      <c r="O99" s="50"/>
      <c r="P99" s="50"/>
      <c r="Q99" s="50"/>
      <c r="R99" s="50"/>
      <c r="S99" s="50"/>
      <c r="T99" s="50"/>
      <c r="U99" s="50"/>
      <c r="V99" s="50"/>
      <c r="W99" s="50"/>
      <c r="X99" s="50"/>
      <c r="Y99" s="50"/>
      <c r="Z99" s="50"/>
      <c r="AA99" s="50"/>
      <c r="AB99" s="50"/>
      <c r="AC99" s="50"/>
      <c r="AD99" s="50"/>
      <c r="AE99" s="50"/>
      <c r="AF99" s="50"/>
      <c r="AG99" s="50"/>
      <c r="AH99" s="50"/>
      <c r="AI99" s="50"/>
      <c r="AJ99" s="50"/>
      <c r="AK99" s="50"/>
      <c r="AL99" s="50"/>
      <c r="AM99" s="50"/>
      <c r="AN99" s="50"/>
      <c r="AO99" s="50"/>
    </row>
    <row r="100" spans="1:41" customFormat="1" ht="15.75" hidden="1" thickBot="1">
      <c r="A100" s="119" t="s">
        <v>425</v>
      </c>
      <c r="B100" s="346" t="s">
        <v>718</v>
      </c>
      <c r="C100" s="347" t="s">
        <v>719</v>
      </c>
      <c r="D100" s="80"/>
      <c r="E100" s="50"/>
      <c r="F100" s="80"/>
      <c r="G100" s="80"/>
      <c r="H100" s="80"/>
      <c r="I100" s="80"/>
      <c r="J100" s="80"/>
      <c r="K100" s="80"/>
      <c r="L100" s="50"/>
      <c r="M100" s="50"/>
      <c r="N100" s="50"/>
      <c r="O100" s="50"/>
      <c r="P100" s="50"/>
      <c r="Q100" s="50"/>
      <c r="R100" s="50"/>
      <c r="S100" s="50"/>
      <c r="T100" s="50"/>
      <c r="U100" s="50"/>
      <c r="V100" s="50"/>
      <c r="W100" s="50"/>
      <c r="X100" s="50"/>
      <c r="Y100" s="50"/>
      <c r="Z100" s="50"/>
      <c r="AA100" s="50"/>
      <c r="AB100" s="50"/>
      <c r="AC100" s="50"/>
      <c r="AD100" s="50"/>
      <c r="AE100" s="50"/>
      <c r="AF100" s="50"/>
      <c r="AG100" s="50"/>
      <c r="AH100" s="50"/>
      <c r="AI100" s="50"/>
      <c r="AJ100" s="50"/>
      <c r="AK100" s="50"/>
      <c r="AL100" s="50"/>
      <c r="AM100" s="50"/>
      <c r="AN100" s="50"/>
      <c r="AO100" s="50"/>
    </row>
    <row r="101" spans="1:41" customFormat="1" ht="15.75" hidden="1" thickBot="1">
      <c r="A101" s="119" t="s">
        <v>447</v>
      </c>
      <c r="B101" s="346" t="s">
        <v>721</v>
      </c>
      <c r="C101" s="347" t="s">
        <v>994</v>
      </c>
      <c r="D101" s="347" t="s">
        <v>720</v>
      </c>
      <c r="E101" s="80"/>
      <c r="F101" s="80"/>
      <c r="G101" s="80"/>
      <c r="H101" s="80"/>
      <c r="I101" s="80"/>
      <c r="J101" s="80"/>
      <c r="K101" s="80"/>
      <c r="L101" s="50"/>
      <c r="M101" s="50"/>
      <c r="N101" s="50"/>
      <c r="O101" s="50"/>
      <c r="P101" s="50"/>
      <c r="Q101" s="50"/>
      <c r="R101" s="50"/>
      <c r="S101" s="50"/>
      <c r="T101" s="50"/>
      <c r="U101" s="50"/>
      <c r="V101" s="50"/>
      <c r="W101" s="50"/>
      <c r="X101" s="50"/>
      <c r="Y101" s="50"/>
      <c r="Z101" s="50"/>
      <c r="AA101" s="50"/>
      <c r="AB101" s="50"/>
      <c r="AC101" s="50"/>
      <c r="AD101" s="50"/>
      <c r="AE101" s="50"/>
      <c r="AF101" s="50"/>
      <c r="AG101" s="50"/>
      <c r="AH101" s="50"/>
      <c r="AI101" s="50"/>
      <c r="AJ101" s="50"/>
      <c r="AK101" s="50"/>
      <c r="AL101" s="50"/>
      <c r="AM101" s="50"/>
      <c r="AN101" s="50"/>
      <c r="AO101" s="50"/>
    </row>
    <row r="102" spans="1:41" customFormat="1" ht="15.75" hidden="1" thickBot="1">
      <c r="A102" s="119" t="s">
        <v>443</v>
      </c>
      <c r="B102" s="346" t="s">
        <v>794</v>
      </c>
      <c r="C102" s="347" t="s">
        <v>792</v>
      </c>
      <c r="D102" s="347" t="s">
        <v>793</v>
      </c>
      <c r="E102" s="80"/>
      <c r="F102" s="80"/>
      <c r="G102" s="50"/>
      <c r="H102" s="80"/>
      <c r="I102" s="80"/>
      <c r="J102" s="80"/>
      <c r="K102" s="80"/>
      <c r="L102" s="50"/>
      <c r="M102" s="50"/>
      <c r="N102" s="50"/>
      <c r="O102" s="50"/>
      <c r="P102" s="50"/>
      <c r="Q102" s="50"/>
      <c r="R102" s="50"/>
      <c r="S102" s="50"/>
      <c r="T102" s="50"/>
      <c r="U102" s="50"/>
      <c r="V102" s="50"/>
      <c r="W102" s="50"/>
      <c r="X102" s="50"/>
      <c r="Y102" s="50"/>
      <c r="Z102" s="50"/>
      <c r="AA102" s="50"/>
      <c r="AB102" s="50"/>
      <c r="AC102" s="50"/>
      <c r="AD102" s="50"/>
      <c r="AE102" s="50"/>
      <c r="AF102" s="50"/>
      <c r="AG102" s="50"/>
      <c r="AH102" s="50"/>
      <c r="AI102" s="50"/>
      <c r="AJ102" s="50"/>
      <c r="AK102" s="50"/>
      <c r="AL102" s="50"/>
      <c r="AM102" s="50"/>
      <c r="AN102" s="50"/>
      <c r="AO102" s="50"/>
    </row>
    <row r="103" spans="1:41" customFormat="1" ht="15.75" hidden="1" thickBot="1">
      <c r="A103" s="119" t="s">
        <v>448</v>
      </c>
      <c r="B103" s="346" t="s">
        <v>995</v>
      </c>
      <c r="C103" s="347" t="s">
        <v>996</v>
      </c>
      <c r="D103" s="80"/>
      <c r="E103" s="80"/>
      <c r="F103" s="80"/>
      <c r="G103" s="50"/>
      <c r="H103" s="80"/>
      <c r="I103" s="80"/>
      <c r="J103" s="80"/>
      <c r="K103" s="80"/>
      <c r="L103" s="50"/>
      <c r="M103" s="50"/>
      <c r="N103" s="50"/>
      <c r="O103" s="50"/>
      <c r="P103" s="50"/>
      <c r="Q103" s="50"/>
      <c r="R103" s="50"/>
      <c r="S103" s="50"/>
      <c r="T103" s="50"/>
      <c r="U103" s="50"/>
      <c r="V103" s="50"/>
      <c r="W103" s="50"/>
      <c r="X103" s="50"/>
      <c r="Y103" s="50"/>
      <c r="Z103" s="50"/>
      <c r="AA103" s="50"/>
      <c r="AB103" s="50"/>
      <c r="AC103" s="50"/>
      <c r="AD103" s="50"/>
      <c r="AE103" s="50"/>
      <c r="AF103" s="50"/>
      <c r="AG103" s="50"/>
      <c r="AH103" s="50"/>
      <c r="AI103" s="50"/>
      <c r="AJ103" s="50"/>
      <c r="AK103" s="50"/>
      <c r="AL103" s="50"/>
      <c r="AM103" s="50"/>
      <c r="AN103" s="50"/>
      <c r="AO103" s="50"/>
    </row>
    <row r="104" spans="1:41" customFormat="1" ht="15.75" hidden="1" thickBot="1">
      <c r="A104" s="119" t="s">
        <v>872</v>
      </c>
      <c r="B104" s="346" t="s">
        <v>725</v>
      </c>
      <c r="C104" s="347" t="s">
        <v>724</v>
      </c>
      <c r="D104" s="347" t="s">
        <v>723</v>
      </c>
      <c r="E104" s="80"/>
      <c r="F104" s="80"/>
      <c r="G104" s="50"/>
      <c r="H104" s="80"/>
      <c r="I104" s="80"/>
      <c r="J104" s="80"/>
      <c r="K104" s="80"/>
      <c r="L104" s="50"/>
      <c r="M104" s="50"/>
      <c r="N104" s="50"/>
      <c r="O104" s="50"/>
      <c r="P104" s="50"/>
      <c r="Q104" s="50"/>
      <c r="R104" s="50"/>
      <c r="S104" s="50"/>
      <c r="T104" s="50"/>
      <c r="U104" s="50"/>
      <c r="V104" s="50"/>
      <c r="W104" s="50"/>
      <c r="X104" s="50"/>
      <c r="Y104" s="50"/>
      <c r="Z104" s="50"/>
      <c r="AA104" s="50"/>
      <c r="AB104" s="50"/>
      <c r="AC104" s="50"/>
      <c r="AD104" s="50"/>
      <c r="AE104" s="50"/>
      <c r="AF104" s="50"/>
      <c r="AG104" s="50"/>
      <c r="AH104" s="50"/>
      <c r="AI104" s="50"/>
      <c r="AJ104" s="50"/>
      <c r="AK104" s="50"/>
      <c r="AL104" s="50"/>
      <c r="AM104" s="50"/>
      <c r="AN104" s="50"/>
      <c r="AO104" s="50"/>
    </row>
    <row r="105" spans="1:41" customFormat="1" ht="15.75" hidden="1" thickBot="1">
      <c r="A105" s="119" t="s">
        <v>428</v>
      </c>
      <c r="B105" s="346" t="s">
        <v>727</v>
      </c>
      <c r="C105" s="347" t="s">
        <v>728</v>
      </c>
      <c r="D105" s="347" t="s">
        <v>729</v>
      </c>
      <c r="E105" s="80"/>
      <c r="F105" s="80"/>
      <c r="G105" s="50"/>
      <c r="H105" s="80"/>
      <c r="I105" s="80"/>
      <c r="J105" s="80"/>
      <c r="K105" s="80"/>
      <c r="L105" s="50"/>
      <c r="M105" s="50"/>
      <c r="N105" s="50"/>
      <c r="O105" s="50"/>
      <c r="P105" s="50"/>
      <c r="Q105" s="50"/>
      <c r="R105" s="50"/>
      <c r="S105" s="50"/>
      <c r="T105" s="50"/>
      <c r="U105" s="50"/>
      <c r="V105" s="50"/>
      <c r="W105" s="50"/>
      <c r="X105" s="50"/>
      <c r="Y105" s="50"/>
      <c r="Z105" s="50"/>
      <c r="AA105" s="50"/>
      <c r="AB105" s="50"/>
      <c r="AC105" s="50"/>
      <c r="AD105" s="50"/>
      <c r="AE105" s="50"/>
      <c r="AF105" s="50"/>
      <c r="AG105" s="50"/>
      <c r="AH105" s="50"/>
      <c r="AI105" s="50"/>
      <c r="AJ105" s="50"/>
      <c r="AK105" s="50"/>
      <c r="AL105" s="50"/>
      <c r="AM105" s="50"/>
      <c r="AN105" s="50"/>
      <c r="AO105" s="50"/>
    </row>
    <row r="106" spans="1:41" customFormat="1" ht="15.75" hidden="1" thickBot="1">
      <c r="A106" s="119" t="s">
        <v>429</v>
      </c>
      <c r="B106" s="346" t="s">
        <v>725</v>
      </c>
      <c r="C106" s="347" t="s">
        <v>724</v>
      </c>
      <c r="D106" s="347" t="s">
        <v>730</v>
      </c>
      <c r="E106" s="120"/>
      <c r="F106" s="120"/>
      <c r="G106" s="120">
        <v>1</v>
      </c>
      <c r="H106" s="120">
        <v>0</v>
      </c>
      <c r="I106" s="80"/>
      <c r="J106" s="80"/>
      <c r="K106" s="80"/>
      <c r="L106" s="50"/>
      <c r="M106" s="50"/>
      <c r="N106" s="50"/>
      <c r="O106" s="50"/>
      <c r="P106" s="50"/>
      <c r="Q106" s="50"/>
      <c r="R106" s="50"/>
      <c r="S106" s="50"/>
      <c r="T106" s="50"/>
      <c r="U106" s="50"/>
      <c r="V106" s="50"/>
      <c r="W106" s="50"/>
      <c r="X106" s="50"/>
      <c r="Y106" s="50"/>
      <c r="Z106" s="50"/>
      <c r="AA106" s="50"/>
      <c r="AB106" s="50"/>
      <c r="AC106" s="50"/>
      <c r="AD106" s="50"/>
      <c r="AE106" s="50"/>
      <c r="AF106" s="50"/>
      <c r="AG106" s="50"/>
      <c r="AH106" s="50"/>
      <c r="AI106" s="50"/>
      <c r="AJ106" s="50"/>
      <c r="AK106" s="50"/>
      <c r="AL106" s="50"/>
      <c r="AM106" s="50"/>
      <c r="AN106" s="50"/>
      <c r="AO106" s="50"/>
    </row>
    <row r="107" spans="1:41" customFormat="1" ht="15.75" hidden="1" thickBot="1">
      <c r="A107" s="119" t="s">
        <v>437</v>
      </c>
      <c r="B107" s="346" t="s">
        <v>559</v>
      </c>
      <c r="C107" s="347">
        <v>5</v>
      </c>
      <c r="D107" s="347">
        <v>4</v>
      </c>
      <c r="E107" s="347">
        <v>3</v>
      </c>
      <c r="F107" s="347">
        <v>2</v>
      </c>
      <c r="G107" s="347">
        <v>1</v>
      </c>
      <c r="H107" s="347">
        <v>0</v>
      </c>
      <c r="I107" s="80"/>
      <c r="J107" s="80"/>
      <c r="K107" s="80"/>
      <c r="L107" s="50"/>
      <c r="M107" s="50"/>
      <c r="N107" s="50"/>
      <c r="O107" s="50"/>
      <c r="P107" s="50"/>
      <c r="Q107" s="50"/>
      <c r="R107" s="50"/>
      <c r="S107" s="50"/>
      <c r="T107" s="50"/>
      <c r="U107" s="50"/>
      <c r="V107" s="50"/>
      <c r="W107" s="50"/>
      <c r="X107" s="50"/>
      <c r="Y107" s="50"/>
      <c r="Z107" s="50"/>
      <c r="AA107" s="50"/>
      <c r="AB107" s="50"/>
      <c r="AC107" s="50"/>
      <c r="AD107" s="50"/>
      <c r="AE107" s="50"/>
      <c r="AF107" s="50"/>
      <c r="AG107" s="50"/>
      <c r="AH107" s="50"/>
      <c r="AI107" s="50"/>
      <c r="AJ107" s="50"/>
      <c r="AK107" s="50"/>
      <c r="AL107" s="50"/>
      <c r="AM107" s="50"/>
      <c r="AN107" s="50"/>
      <c r="AO107" s="50"/>
    </row>
    <row r="108" spans="1:41" customFormat="1" ht="15.75" hidden="1" thickBot="1">
      <c r="A108" s="119" t="s">
        <v>444</v>
      </c>
      <c r="B108" s="346" t="s">
        <v>673</v>
      </c>
      <c r="C108" s="347" t="s">
        <v>674</v>
      </c>
      <c r="D108" s="80"/>
      <c r="E108" s="80"/>
      <c r="F108" s="80"/>
      <c r="G108" s="80"/>
      <c r="H108" s="80"/>
      <c r="I108" s="80"/>
      <c r="J108" s="80"/>
      <c r="K108" s="80"/>
      <c r="L108" s="50"/>
      <c r="M108" s="50"/>
      <c r="N108" s="50"/>
      <c r="O108" s="50"/>
      <c r="P108" s="50"/>
      <c r="Q108" s="50"/>
      <c r="R108" s="50"/>
      <c r="S108" s="50"/>
      <c r="T108" s="50"/>
      <c r="U108" s="50"/>
      <c r="V108" s="50"/>
      <c r="W108" s="50"/>
      <c r="X108" s="50"/>
      <c r="Y108" s="50"/>
      <c r="Z108" s="50"/>
      <c r="AA108" s="50"/>
      <c r="AB108" s="50"/>
      <c r="AC108" s="50"/>
      <c r="AD108" s="50"/>
      <c r="AE108" s="50"/>
      <c r="AF108" s="50"/>
      <c r="AG108" s="50"/>
      <c r="AH108" s="50"/>
      <c r="AI108" s="50"/>
      <c r="AJ108" s="50"/>
      <c r="AK108" s="50"/>
      <c r="AL108" s="50"/>
      <c r="AM108" s="50"/>
      <c r="AN108" s="50"/>
      <c r="AO108" s="50"/>
    </row>
    <row r="109" spans="1:41" customFormat="1" ht="15.75" hidden="1" thickBot="1">
      <c r="A109" s="119" t="s">
        <v>445</v>
      </c>
      <c r="B109" s="346" t="s">
        <v>679</v>
      </c>
      <c r="C109" s="347" t="s">
        <v>997</v>
      </c>
      <c r="D109" s="80"/>
      <c r="E109" s="80"/>
      <c r="F109" s="80"/>
      <c r="G109" s="80"/>
      <c r="H109" s="80"/>
      <c r="I109" s="80"/>
      <c r="J109" s="80"/>
      <c r="K109" s="80"/>
      <c r="L109" s="50"/>
      <c r="M109" s="50"/>
      <c r="N109" s="50"/>
      <c r="O109" s="50"/>
      <c r="P109" s="50"/>
      <c r="Q109" s="50"/>
      <c r="R109" s="50"/>
      <c r="S109" s="50"/>
      <c r="T109" s="50"/>
      <c r="U109" s="50"/>
      <c r="V109" s="50"/>
      <c r="W109" s="50"/>
      <c r="X109" s="50"/>
      <c r="Y109" s="50"/>
      <c r="Z109" s="50"/>
      <c r="AA109" s="50"/>
      <c r="AB109" s="50"/>
      <c r="AC109" s="50"/>
      <c r="AD109" s="50"/>
      <c r="AE109" s="50"/>
      <c r="AF109" s="50"/>
      <c r="AG109" s="50"/>
      <c r="AH109" s="50"/>
      <c r="AI109" s="50"/>
      <c r="AJ109" s="50"/>
      <c r="AK109" s="50"/>
      <c r="AL109" s="50"/>
      <c r="AM109" s="50"/>
      <c r="AN109" s="50"/>
      <c r="AO109" s="50"/>
    </row>
    <row r="110" spans="1:41" customFormat="1" ht="15.75" hidden="1" thickBot="1">
      <c r="A110" s="119" t="s">
        <v>446</v>
      </c>
      <c r="B110" s="346" t="s">
        <v>998</v>
      </c>
      <c r="C110" s="347" t="s">
        <v>999</v>
      </c>
      <c r="D110" s="80"/>
      <c r="E110" s="80"/>
      <c r="F110" s="80"/>
      <c r="G110" s="50"/>
      <c r="H110" s="80"/>
      <c r="I110" s="80"/>
      <c r="J110" s="80"/>
      <c r="K110" s="80"/>
      <c r="L110" s="50"/>
      <c r="M110" s="50"/>
      <c r="N110" s="50"/>
      <c r="O110" s="50"/>
      <c r="P110" s="50"/>
      <c r="Q110" s="50"/>
      <c r="R110" s="50"/>
      <c r="S110" s="50"/>
      <c r="T110" s="50"/>
      <c r="U110" s="50"/>
      <c r="V110" s="50"/>
      <c r="W110" s="50"/>
      <c r="X110" s="50"/>
      <c r="Y110" s="50"/>
      <c r="Z110" s="50"/>
      <c r="AA110" s="50"/>
      <c r="AB110" s="50"/>
      <c r="AC110" s="50"/>
      <c r="AD110" s="50"/>
      <c r="AE110" s="50"/>
      <c r="AF110" s="50"/>
      <c r="AG110" s="50"/>
      <c r="AH110" s="50"/>
      <c r="AI110" s="50"/>
      <c r="AJ110" s="50"/>
      <c r="AK110" s="50"/>
      <c r="AL110" s="50"/>
      <c r="AM110" s="50"/>
      <c r="AN110" s="50"/>
      <c r="AO110" s="50"/>
    </row>
    <row r="111" spans="1:41" customFormat="1" ht="15.75" hidden="1" thickBot="1">
      <c r="A111" s="119" t="s">
        <v>441</v>
      </c>
      <c r="B111" s="350" t="s">
        <v>1016</v>
      </c>
      <c r="C111" s="351" t="s">
        <v>1017</v>
      </c>
      <c r="D111" s="351" t="s">
        <v>1018</v>
      </c>
      <c r="E111" s="351" t="s">
        <v>1019</v>
      </c>
      <c r="F111" s="118"/>
      <c r="G111" s="50"/>
      <c r="H111" s="80"/>
      <c r="I111" s="80"/>
      <c r="J111" s="80"/>
      <c r="K111" s="80"/>
      <c r="L111" s="50"/>
      <c r="M111" s="50"/>
      <c r="N111" s="50"/>
      <c r="O111" s="50"/>
      <c r="P111" s="50"/>
      <c r="Q111" s="50"/>
      <c r="R111" s="50"/>
      <c r="S111" s="50"/>
      <c r="T111" s="50"/>
      <c r="U111" s="50"/>
      <c r="V111" s="50"/>
      <c r="W111" s="50"/>
      <c r="X111" s="50"/>
      <c r="Y111" s="50"/>
      <c r="Z111" s="50"/>
      <c r="AA111" s="50"/>
      <c r="AB111" s="50"/>
      <c r="AC111" s="50"/>
      <c r="AD111" s="50"/>
      <c r="AE111" s="50"/>
      <c r="AF111" s="50"/>
      <c r="AG111" s="50"/>
      <c r="AH111" s="50"/>
      <c r="AI111" s="50"/>
      <c r="AJ111" s="50"/>
      <c r="AK111" s="50"/>
      <c r="AL111" s="50"/>
      <c r="AM111" s="50"/>
      <c r="AN111" s="50"/>
      <c r="AO111" s="50"/>
    </row>
    <row r="112" spans="1:41" customFormat="1" ht="15.75" hidden="1" thickBot="1">
      <c r="A112" s="119" t="s">
        <v>1064</v>
      </c>
      <c r="B112" s="346" t="s">
        <v>1066</v>
      </c>
      <c r="C112" s="347" t="s">
        <v>1000</v>
      </c>
      <c r="D112" s="118"/>
      <c r="E112" s="118"/>
      <c r="F112" s="80"/>
      <c r="G112" s="50"/>
      <c r="H112" s="80"/>
      <c r="I112" s="80"/>
      <c r="J112" s="80"/>
      <c r="K112" s="80"/>
      <c r="L112" s="50"/>
      <c r="M112" s="50"/>
      <c r="N112" s="50"/>
      <c r="O112" s="50"/>
      <c r="P112" s="50"/>
      <c r="Q112" s="50"/>
      <c r="R112" s="50"/>
      <c r="S112" s="50"/>
      <c r="T112" s="50"/>
      <c r="U112" s="50"/>
      <c r="V112" s="50"/>
      <c r="W112" s="50"/>
      <c r="X112" s="50"/>
      <c r="Y112" s="50"/>
      <c r="Z112" s="50"/>
      <c r="AA112" s="50"/>
      <c r="AB112" s="50"/>
      <c r="AC112" s="50"/>
      <c r="AD112" s="50"/>
      <c r="AE112" s="50"/>
      <c r="AF112" s="50"/>
      <c r="AG112" s="50"/>
      <c r="AH112" s="50"/>
      <c r="AI112" s="50"/>
      <c r="AJ112" s="50"/>
      <c r="AK112" s="50"/>
      <c r="AL112" s="50"/>
      <c r="AM112" s="50"/>
      <c r="AN112" s="50"/>
      <c r="AO112" s="50"/>
    </row>
    <row r="113" spans="1:41" customFormat="1" ht="15.75" hidden="1" thickBot="1">
      <c r="A113" s="119" t="s">
        <v>668</v>
      </c>
      <c r="B113" s="346" t="s">
        <v>1003</v>
      </c>
      <c r="C113" s="352" t="s">
        <v>1004</v>
      </c>
      <c r="D113" s="118"/>
      <c r="E113" s="118"/>
      <c r="F113" s="80"/>
      <c r="G113" s="50"/>
      <c r="H113" s="80"/>
      <c r="I113" s="80"/>
      <c r="J113" s="80"/>
      <c r="K113" s="80"/>
      <c r="L113" s="50"/>
      <c r="M113" s="50"/>
      <c r="N113" s="50"/>
      <c r="O113" s="50"/>
      <c r="P113" s="50"/>
      <c r="Q113" s="50"/>
      <c r="R113" s="50"/>
      <c r="S113" s="50"/>
      <c r="T113" s="50"/>
      <c r="U113" s="50"/>
      <c r="V113" s="50"/>
      <c r="W113" s="50"/>
      <c r="X113" s="50"/>
      <c r="Y113" s="50"/>
      <c r="Z113" s="50"/>
      <c r="AA113" s="50"/>
      <c r="AB113" s="50"/>
      <c r="AC113" s="50"/>
      <c r="AD113" s="50"/>
      <c r="AE113" s="50"/>
      <c r="AF113" s="50"/>
      <c r="AG113" s="50"/>
      <c r="AH113" s="50"/>
      <c r="AI113" s="50"/>
      <c r="AJ113" s="50"/>
      <c r="AK113" s="50"/>
      <c r="AL113" s="50"/>
      <c r="AM113" s="50"/>
      <c r="AN113" s="50"/>
      <c r="AO113" s="50"/>
    </row>
    <row r="114" spans="1:41" customFormat="1" ht="15.75" hidden="1" thickBot="1">
      <c r="A114" s="119" t="s">
        <v>669</v>
      </c>
      <c r="B114" s="346" t="s">
        <v>677</v>
      </c>
      <c r="C114" s="347" t="s">
        <v>678</v>
      </c>
      <c r="D114" s="118"/>
      <c r="E114" s="118"/>
      <c r="F114" s="80"/>
      <c r="G114" s="50"/>
      <c r="H114" s="80"/>
      <c r="I114" s="80"/>
      <c r="J114" s="80"/>
      <c r="K114" s="80"/>
      <c r="L114" s="50"/>
      <c r="M114" s="50"/>
      <c r="N114" s="50"/>
      <c r="O114" s="50"/>
      <c r="P114" s="50"/>
      <c r="Q114" s="50"/>
      <c r="R114" s="50"/>
      <c r="S114" s="50"/>
      <c r="T114" s="50"/>
      <c r="U114" s="50"/>
      <c r="V114" s="50"/>
      <c r="W114" s="50"/>
      <c r="X114" s="50"/>
      <c r="Y114" s="50"/>
      <c r="Z114" s="50"/>
      <c r="AA114" s="50"/>
      <c r="AB114" s="50"/>
      <c r="AC114" s="50"/>
      <c r="AD114" s="50"/>
      <c r="AE114" s="50"/>
      <c r="AF114" s="50"/>
      <c r="AG114" s="50"/>
      <c r="AH114" s="50"/>
      <c r="AI114" s="50"/>
      <c r="AJ114" s="50"/>
      <c r="AK114" s="50"/>
      <c r="AL114" s="50"/>
      <c r="AM114" s="50"/>
      <c r="AN114" s="50"/>
      <c r="AO114" s="50"/>
    </row>
    <row r="115" spans="1:41" customFormat="1" ht="15.75" hidden="1" thickBot="1">
      <c r="A115" s="119" t="s">
        <v>676</v>
      </c>
      <c r="B115" s="346" t="s">
        <v>1005</v>
      </c>
      <c r="C115" s="347" t="s">
        <v>1006</v>
      </c>
      <c r="D115" s="118"/>
      <c r="E115" s="118"/>
      <c r="F115" s="80"/>
      <c r="G115" s="50"/>
      <c r="H115" s="80"/>
      <c r="I115" s="80"/>
      <c r="J115" s="80"/>
      <c r="K115" s="80"/>
      <c r="L115" s="50"/>
      <c r="M115" s="50"/>
      <c r="N115" s="50"/>
      <c r="O115" s="50"/>
      <c r="P115" s="50"/>
      <c r="Q115" s="50"/>
      <c r="R115" s="50"/>
      <c r="S115" s="50"/>
      <c r="T115" s="50"/>
      <c r="U115" s="50"/>
      <c r="V115" s="50"/>
      <c r="W115" s="50"/>
      <c r="X115" s="50"/>
      <c r="Y115" s="50"/>
      <c r="Z115" s="50"/>
      <c r="AA115" s="50"/>
      <c r="AB115" s="50"/>
      <c r="AC115" s="50"/>
      <c r="AD115" s="50"/>
      <c r="AE115" s="50"/>
      <c r="AF115" s="50"/>
      <c r="AG115" s="50"/>
      <c r="AH115" s="50"/>
      <c r="AI115" s="50"/>
      <c r="AJ115" s="50"/>
      <c r="AK115" s="50"/>
      <c r="AL115" s="50"/>
      <c r="AM115" s="50"/>
      <c r="AN115" s="50"/>
      <c r="AO115" s="50"/>
    </row>
    <row r="116" spans="1:41" customFormat="1" ht="15.75" hidden="1" thickBot="1">
      <c r="A116" s="119" t="s">
        <v>965</v>
      </c>
      <c r="B116" s="346" t="s">
        <v>1007</v>
      </c>
      <c r="C116" s="347" t="s">
        <v>1008</v>
      </c>
      <c r="D116" s="118"/>
      <c r="E116" s="118"/>
      <c r="F116" s="80"/>
      <c r="G116" s="50"/>
      <c r="H116" s="80"/>
      <c r="I116" s="80"/>
      <c r="J116" s="80"/>
      <c r="K116" s="80"/>
      <c r="L116" s="50"/>
      <c r="M116" s="50"/>
      <c r="N116" s="50"/>
      <c r="O116" s="50"/>
      <c r="P116" s="50"/>
      <c r="Q116" s="50"/>
      <c r="R116" s="50"/>
      <c r="S116" s="50"/>
      <c r="T116" s="50"/>
      <c r="U116" s="50"/>
      <c r="V116" s="50"/>
      <c r="W116" s="50"/>
      <c r="X116" s="50"/>
      <c r="Y116" s="50"/>
      <c r="Z116" s="50"/>
      <c r="AA116" s="50"/>
      <c r="AB116" s="50"/>
      <c r="AC116" s="50"/>
      <c r="AD116" s="50"/>
      <c r="AE116" s="50"/>
      <c r="AF116" s="50"/>
      <c r="AG116" s="50"/>
      <c r="AH116" s="50"/>
      <c r="AI116" s="50"/>
      <c r="AJ116" s="50"/>
      <c r="AK116" s="50"/>
      <c r="AL116" s="50"/>
      <c r="AM116" s="50"/>
      <c r="AN116" s="50"/>
      <c r="AO116" s="50"/>
    </row>
    <row r="117" spans="1:41" customFormat="1" ht="15.75" hidden="1" thickBot="1">
      <c r="A117" s="119" t="s">
        <v>966</v>
      </c>
      <c r="B117" s="350" t="s">
        <v>1016</v>
      </c>
      <c r="C117" s="351" t="s">
        <v>1017</v>
      </c>
      <c r="D117" s="351" t="s">
        <v>1018</v>
      </c>
      <c r="E117" s="351" t="s">
        <v>1019</v>
      </c>
      <c r="F117" s="80"/>
      <c r="G117" s="50"/>
      <c r="H117" s="80"/>
      <c r="I117" s="80"/>
      <c r="J117" s="80"/>
      <c r="K117" s="80"/>
      <c r="L117" s="50"/>
      <c r="M117" s="50"/>
      <c r="N117" s="50"/>
      <c r="O117" s="50"/>
      <c r="P117" s="50"/>
      <c r="Q117" s="50"/>
      <c r="R117" s="50"/>
      <c r="S117" s="50"/>
      <c r="T117" s="50"/>
      <c r="U117" s="50"/>
      <c r="V117" s="50"/>
      <c r="W117" s="50"/>
      <c r="X117" s="50"/>
      <c r="Y117" s="50"/>
      <c r="Z117" s="50"/>
      <c r="AA117" s="50"/>
      <c r="AB117" s="50"/>
      <c r="AC117" s="50"/>
      <c r="AD117" s="50"/>
      <c r="AE117" s="50"/>
      <c r="AF117" s="50"/>
      <c r="AG117" s="50"/>
      <c r="AH117" s="50"/>
      <c r="AI117" s="50"/>
      <c r="AJ117" s="50"/>
      <c r="AK117" s="50"/>
      <c r="AL117" s="50"/>
      <c r="AM117" s="50"/>
      <c r="AN117" s="50"/>
      <c r="AO117" s="50"/>
    </row>
    <row r="118" spans="1:41" customFormat="1" ht="15.75" hidden="1" thickBot="1">
      <c r="A118" s="119" t="s">
        <v>1065</v>
      </c>
      <c r="B118" s="346" t="s">
        <v>1063</v>
      </c>
      <c r="C118" s="347" t="s">
        <v>1009</v>
      </c>
      <c r="D118" s="118"/>
      <c r="E118" s="118"/>
      <c r="F118" s="80"/>
      <c r="G118" s="50"/>
      <c r="H118" s="80"/>
      <c r="I118" s="80"/>
      <c r="J118" s="80"/>
      <c r="K118" s="80"/>
      <c r="L118" s="50"/>
      <c r="M118" s="50"/>
      <c r="N118" s="50"/>
      <c r="O118" s="50"/>
      <c r="P118" s="50"/>
      <c r="Q118" s="50"/>
      <c r="R118" s="50"/>
      <c r="S118" s="50"/>
      <c r="T118" s="50"/>
      <c r="U118" s="50"/>
      <c r="V118" s="50"/>
      <c r="W118" s="50"/>
      <c r="X118" s="50"/>
      <c r="Y118" s="50"/>
      <c r="Z118" s="50"/>
      <c r="AA118" s="50"/>
      <c r="AB118" s="50"/>
      <c r="AC118" s="50"/>
      <c r="AD118" s="50"/>
      <c r="AE118" s="50"/>
      <c r="AF118" s="50"/>
      <c r="AG118" s="50"/>
      <c r="AH118" s="50"/>
      <c r="AI118" s="50"/>
      <c r="AJ118" s="50"/>
      <c r="AK118" s="50"/>
      <c r="AL118" s="50"/>
      <c r="AM118" s="50"/>
      <c r="AN118" s="50"/>
      <c r="AO118" s="50"/>
    </row>
    <row r="119" spans="1:41" customFormat="1" ht="15.75" hidden="1" thickBot="1">
      <c r="A119" s="119" t="s">
        <v>945</v>
      </c>
      <c r="B119" s="346" t="s">
        <v>1001</v>
      </c>
      <c r="C119" s="347" t="s">
        <v>1002</v>
      </c>
      <c r="D119" s="118"/>
      <c r="E119" s="118"/>
      <c r="F119" s="80"/>
      <c r="G119" s="50"/>
      <c r="H119" s="80"/>
      <c r="I119" s="80"/>
      <c r="J119" s="80"/>
      <c r="K119" s="80"/>
      <c r="L119" s="50"/>
      <c r="M119" s="50"/>
      <c r="N119" s="50"/>
      <c r="O119" s="50"/>
      <c r="P119" s="50"/>
      <c r="Q119" s="50"/>
      <c r="R119" s="50"/>
      <c r="S119" s="50"/>
      <c r="T119" s="50"/>
      <c r="U119" s="50"/>
      <c r="V119" s="50"/>
      <c r="W119" s="50"/>
      <c r="X119" s="50"/>
      <c r="Y119" s="50"/>
      <c r="Z119" s="50"/>
      <c r="AA119" s="50"/>
      <c r="AB119" s="50"/>
      <c r="AC119" s="50"/>
      <c r="AD119" s="50"/>
      <c r="AE119" s="50"/>
      <c r="AF119" s="50"/>
      <c r="AG119" s="50"/>
      <c r="AH119" s="50"/>
      <c r="AI119" s="50"/>
      <c r="AJ119" s="50"/>
      <c r="AK119" s="50"/>
      <c r="AL119" s="50"/>
      <c r="AM119" s="50"/>
      <c r="AN119" s="50"/>
      <c r="AO119" s="50"/>
    </row>
    <row r="120" spans="1:41" customFormat="1" ht="15.75" hidden="1" thickBot="1">
      <c r="A120" s="119" t="s">
        <v>949</v>
      </c>
      <c r="B120" s="346" t="s">
        <v>1010</v>
      </c>
      <c r="C120" s="347" t="s">
        <v>1011</v>
      </c>
      <c r="D120" s="80"/>
      <c r="E120" s="80"/>
      <c r="F120" s="80"/>
      <c r="G120" s="50"/>
      <c r="H120" s="80"/>
      <c r="I120" s="80"/>
      <c r="J120" s="80"/>
      <c r="K120" s="80"/>
      <c r="L120" s="50"/>
      <c r="M120" s="50"/>
      <c r="N120" s="50"/>
      <c r="O120" s="50"/>
      <c r="P120" s="50"/>
      <c r="Q120" s="50"/>
      <c r="R120" s="50"/>
      <c r="S120" s="50"/>
      <c r="T120" s="50"/>
      <c r="U120" s="50"/>
      <c r="V120" s="50"/>
      <c r="W120" s="50"/>
      <c r="X120" s="50"/>
      <c r="Y120" s="50"/>
      <c r="Z120" s="50"/>
      <c r="AA120" s="50"/>
      <c r="AB120" s="50"/>
      <c r="AC120" s="50"/>
      <c r="AD120" s="50"/>
      <c r="AE120" s="50"/>
      <c r="AF120" s="50"/>
      <c r="AG120" s="50"/>
      <c r="AH120" s="50"/>
      <c r="AI120" s="50"/>
      <c r="AJ120" s="50"/>
      <c r="AK120" s="50"/>
      <c r="AL120" s="50"/>
      <c r="AM120" s="50"/>
      <c r="AN120" s="50"/>
      <c r="AO120" s="50"/>
    </row>
    <row r="121" spans="1:41" customFormat="1">
      <c r="A121" s="119"/>
      <c r="B121" s="80"/>
      <c r="C121" s="80"/>
      <c r="D121" s="80"/>
      <c r="E121" s="80"/>
      <c r="F121" s="80"/>
      <c r="G121" s="80"/>
      <c r="H121" s="80"/>
      <c r="I121" s="80"/>
      <c r="J121" s="80"/>
      <c r="K121" s="80"/>
      <c r="L121" s="50"/>
      <c r="M121" s="50"/>
      <c r="N121" s="50"/>
      <c r="O121" s="50"/>
      <c r="P121" s="50"/>
      <c r="Q121" s="50"/>
      <c r="R121" s="50"/>
      <c r="S121" s="50"/>
      <c r="T121" s="50"/>
      <c r="U121" s="50"/>
      <c r="V121" s="50"/>
      <c r="W121" s="50"/>
      <c r="X121" s="50"/>
      <c r="Y121" s="50"/>
      <c r="Z121" s="50"/>
      <c r="AA121" s="50"/>
      <c r="AB121" s="50"/>
      <c r="AC121" s="50"/>
      <c r="AD121" s="50"/>
      <c r="AE121" s="50"/>
      <c r="AF121" s="50"/>
      <c r="AG121" s="50"/>
      <c r="AH121" s="50"/>
      <c r="AI121" s="50"/>
      <c r="AJ121" s="50"/>
      <c r="AK121" s="50"/>
      <c r="AL121" s="50"/>
      <c r="AM121" s="50"/>
      <c r="AN121" s="50"/>
      <c r="AO121" s="50"/>
    </row>
    <row r="122" spans="1:41" customFormat="1">
      <c r="A122" s="80"/>
      <c r="B122" s="80"/>
      <c r="C122" s="50"/>
      <c r="D122" s="50"/>
      <c r="E122" s="80"/>
      <c r="F122" s="80"/>
      <c r="G122" s="80"/>
      <c r="H122" s="80"/>
      <c r="I122" s="80"/>
      <c r="J122" s="80"/>
      <c r="K122" s="80"/>
      <c r="L122" s="50"/>
      <c r="M122" s="50"/>
      <c r="N122" s="50"/>
      <c r="O122" s="50"/>
      <c r="P122" s="50"/>
      <c r="Q122" s="50"/>
      <c r="R122" s="50"/>
      <c r="S122" s="50"/>
      <c r="T122" s="50"/>
      <c r="U122" s="50"/>
      <c r="V122" s="50"/>
      <c r="W122" s="50"/>
      <c r="X122" s="50"/>
      <c r="Y122" s="50"/>
      <c r="Z122" s="50"/>
      <c r="AA122" s="50"/>
      <c r="AB122" s="50"/>
      <c r="AC122" s="50"/>
      <c r="AD122" s="50"/>
      <c r="AE122" s="50"/>
      <c r="AF122" s="50"/>
      <c r="AG122" s="50"/>
      <c r="AH122" s="50"/>
      <c r="AI122" s="50"/>
      <c r="AJ122" s="50"/>
      <c r="AK122" s="50"/>
      <c r="AL122" s="50"/>
      <c r="AM122" s="50"/>
      <c r="AN122" s="50"/>
      <c r="AO122" s="50"/>
    </row>
    <row r="123" spans="1:41" customFormat="1">
      <c r="A123" s="80"/>
      <c r="B123" s="80"/>
      <c r="C123" s="80"/>
      <c r="D123" s="80"/>
      <c r="E123" s="80"/>
      <c r="F123" s="80"/>
      <c r="G123" s="80"/>
      <c r="H123" s="80"/>
      <c r="I123" s="80"/>
      <c r="J123" s="80"/>
      <c r="K123" s="80"/>
      <c r="L123" s="50"/>
      <c r="M123" s="50"/>
      <c r="N123" s="50"/>
      <c r="O123" s="50"/>
      <c r="P123" s="50"/>
      <c r="Q123" s="50"/>
      <c r="R123" s="50"/>
      <c r="S123" s="50"/>
      <c r="T123" s="50"/>
      <c r="U123" s="50"/>
      <c r="V123" s="50"/>
      <c r="W123" s="50"/>
      <c r="X123" s="50"/>
      <c r="Y123" s="50"/>
      <c r="Z123" s="50"/>
      <c r="AA123" s="50"/>
      <c r="AB123" s="50"/>
      <c r="AC123" s="50"/>
      <c r="AD123" s="50"/>
      <c r="AE123" s="50"/>
      <c r="AF123" s="50"/>
      <c r="AG123" s="50"/>
      <c r="AH123" s="50"/>
      <c r="AI123" s="50"/>
      <c r="AJ123" s="50"/>
      <c r="AK123" s="50"/>
      <c r="AL123" s="50"/>
      <c r="AM123" s="50"/>
      <c r="AN123" s="50"/>
      <c r="AO123" s="50"/>
    </row>
    <row r="124" spans="1:41">
      <c r="A124" s="50"/>
      <c r="B124" s="50"/>
      <c r="C124" s="50"/>
      <c r="D124" s="50"/>
      <c r="E124" s="50"/>
      <c r="F124" s="50"/>
      <c r="G124" s="50"/>
      <c r="H124" s="50"/>
      <c r="I124" s="50"/>
      <c r="J124" s="50"/>
      <c r="K124" s="50"/>
      <c r="L124" s="50"/>
      <c r="M124" s="50"/>
      <c r="N124" s="50"/>
      <c r="O124" s="50"/>
      <c r="P124" s="50"/>
      <c r="Q124" s="50"/>
      <c r="R124" s="50"/>
      <c r="S124" s="50"/>
      <c r="T124" s="50"/>
      <c r="U124" s="50"/>
      <c r="V124" s="50"/>
      <c r="W124" s="50"/>
      <c r="X124" s="50"/>
      <c r="Y124" s="50"/>
      <c r="Z124" s="50"/>
      <c r="AA124" s="50"/>
      <c r="AB124" s="50"/>
      <c r="AC124" s="50"/>
      <c r="AD124" s="50"/>
      <c r="AE124" s="50"/>
      <c r="AF124" s="50"/>
    </row>
    <row r="125" spans="1:41">
      <c r="A125" s="50"/>
      <c r="B125" s="50"/>
      <c r="C125" s="50"/>
      <c r="D125" s="50"/>
      <c r="E125" s="50"/>
      <c r="F125" s="50"/>
      <c r="G125" s="50"/>
      <c r="H125" s="50"/>
      <c r="I125" s="50"/>
      <c r="J125" s="50"/>
      <c r="K125" s="50"/>
      <c r="L125" s="50"/>
      <c r="M125" s="50"/>
      <c r="N125" s="50"/>
      <c r="O125" s="50"/>
      <c r="P125" s="50"/>
      <c r="Q125" s="50"/>
      <c r="R125" s="50"/>
      <c r="S125" s="50"/>
      <c r="T125" s="50"/>
      <c r="U125" s="50"/>
      <c r="V125" s="50"/>
      <c r="W125" s="50"/>
      <c r="X125" s="50"/>
      <c r="Y125" s="50"/>
      <c r="Z125" s="50"/>
      <c r="AA125" s="50"/>
      <c r="AB125" s="50"/>
      <c r="AC125" s="50"/>
      <c r="AD125" s="50"/>
      <c r="AE125" s="50"/>
      <c r="AF125" s="50"/>
    </row>
    <row r="126" spans="1:41">
      <c r="A126" s="50"/>
      <c r="B126" s="50"/>
      <c r="C126" s="50"/>
      <c r="D126" s="50"/>
      <c r="E126" s="50"/>
      <c r="F126" s="50"/>
      <c r="G126" s="50"/>
      <c r="H126" s="50"/>
      <c r="I126" s="50"/>
      <c r="J126" s="50"/>
      <c r="K126" s="50"/>
      <c r="L126" s="50"/>
      <c r="M126" s="50"/>
      <c r="N126" s="50"/>
      <c r="O126" s="50"/>
      <c r="P126" s="50"/>
      <c r="Q126" s="50"/>
      <c r="R126" s="50"/>
      <c r="S126" s="50"/>
      <c r="T126" s="50"/>
      <c r="U126" s="50"/>
      <c r="V126" s="50"/>
      <c r="W126" s="50"/>
      <c r="X126" s="50"/>
      <c r="Y126" s="50"/>
      <c r="Z126" s="50"/>
      <c r="AA126" s="50"/>
      <c r="AB126" s="50"/>
      <c r="AC126" s="50"/>
      <c r="AD126" s="50"/>
      <c r="AE126" s="50"/>
      <c r="AF126" s="50"/>
    </row>
    <row r="127" spans="1:41">
      <c r="A127" s="50"/>
      <c r="B127" s="50"/>
      <c r="C127" s="50"/>
      <c r="D127" s="50"/>
      <c r="E127" s="50"/>
      <c r="F127" s="50"/>
      <c r="G127" s="50"/>
      <c r="H127" s="50"/>
      <c r="I127" s="50"/>
      <c r="J127" s="50"/>
      <c r="K127" s="50"/>
      <c r="L127" s="50"/>
      <c r="M127" s="50"/>
      <c r="N127" s="50"/>
      <c r="O127" s="50"/>
      <c r="P127" s="50"/>
      <c r="Q127" s="50"/>
      <c r="R127" s="50"/>
      <c r="S127" s="50"/>
      <c r="T127" s="50"/>
      <c r="U127" s="50"/>
      <c r="V127" s="50"/>
      <c r="W127" s="50"/>
      <c r="X127" s="50"/>
      <c r="Y127" s="50"/>
      <c r="Z127" s="50"/>
      <c r="AA127" s="50"/>
      <c r="AB127" s="50"/>
      <c r="AC127" s="50"/>
      <c r="AD127" s="50"/>
      <c r="AE127" s="50"/>
      <c r="AF127" s="50"/>
    </row>
    <row r="128" spans="1:41">
      <c r="A128" s="50"/>
      <c r="B128" s="50"/>
      <c r="C128" s="50"/>
      <c r="D128" s="50"/>
      <c r="E128" s="50"/>
      <c r="F128" s="50"/>
      <c r="G128" s="50"/>
      <c r="H128" s="50"/>
      <c r="I128" s="50"/>
      <c r="J128" s="50"/>
      <c r="K128" s="50"/>
      <c r="L128" s="50"/>
      <c r="M128" s="50"/>
      <c r="N128" s="50"/>
      <c r="O128" s="50"/>
      <c r="P128" s="50"/>
      <c r="Q128" s="50"/>
      <c r="R128" s="50"/>
      <c r="S128" s="50"/>
      <c r="T128" s="50"/>
      <c r="U128" s="50"/>
      <c r="V128" s="50"/>
      <c r="W128" s="50"/>
      <c r="X128" s="50"/>
      <c r="Y128" s="50"/>
      <c r="Z128" s="50"/>
      <c r="AA128" s="50"/>
      <c r="AB128" s="50"/>
      <c r="AC128" s="50"/>
      <c r="AD128" s="50"/>
      <c r="AE128" s="50"/>
      <c r="AF128" s="50"/>
    </row>
    <row r="129" spans="1:32">
      <c r="A129" s="50"/>
      <c r="B129" s="50"/>
      <c r="C129" s="50"/>
      <c r="D129" s="50"/>
      <c r="E129" s="50"/>
      <c r="F129" s="50"/>
      <c r="G129" s="50"/>
      <c r="H129" s="50"/>
      <c r="I129" s="50"/>
      <c r="J129" s="50"/>
      <c r="K129" s="50"/>
      <c r="L129" s="50"/>
      <c r="M129" s="50"/>
      <c r="N129" s="50"/>
      <c r="O129" s="50"/>
      <c r="P129" s="50"/>
      <c r="Q129" s="50"/>
      <c r="R129" s="50"/>
      <c r="S129" s="50"/>
      <c r="T129" s="50"/>
      <c r="U129" s="50"/>
      <c r="V129" s="50"/>
      <c r="W129" s="50"/>
      <c r="X129" s="50"/>
      <c r="Y129" s="50"/>
      <c r="Z129" s="50"/>
      <c r="AA129" s="50"/>
      <c r="AB129" s="50"/>
      <c r="AC129" s="50"/>
      <c r="AD129" s="50"/>
      <c r="AE129" s="50"/>
      <c r="AF129" s="50"/>
    </row>
    <row r="130" spans="1:32">
      <c r="A130" s="50"/>
      <c r="B130" s="50"/>
      <c r="C130" s="50"/>
      <c r="D130" s="50"/>
      <c r="E130" s="50"/>
      <c r="F130" s="50"/>
      <c r="G130" s="50"/>
      <c r="H130" s="50"/>
      <c r="I130" s="50"/>
      <c r="J130" s="50"/>
      <c r="K130" s="50"/>
      <c r="L130" s="50"/>
      <c r="M130" s="50"/>
      <c r="N130" s="50"/>
      <c r="O130" s="50"/>
      <c r="P130" s="50"/>
      <c r="Q130" s="50"/>
      <c r="R130" s="50"/>
      <c r="S130" s="50"/>
      <c r="T130" s="50"/>
      <c r="U130" s="50"/>
      <c r="V130" s="50"/>
      <c r="W130" s="50"/>
      <c r="X130" s="50"/>
      <c r="Y130" s="50"/>
      <c r="Z130" s="50"/>
      <c r="AA130" s="50"/>
      <c r="AB130" s="50"/>
      <c r="AC130" s="50"/>
      <c r="AD130" s="50"/>
      <c r="AE130" s="50"/>
      <c r="AF130" s="50"/>
    </row>
    <row r="131" spans="1:32">
      <c r="A131" s="50"/>
      <c r="B131" s="50"/>
      <c r="C131" s="50"/>
      <c r="D131" s="50"/>
      <c r="E131" s="50"/>
      <c r="F131" s="50"/>
      <c r="G131" s="50"/>
      <c r="H131" s="50"/>
      <c r="I131" s="50"/>
      <c r="J131" s="50"/>
      <c r="K131" s="50"/>
      <c r="L131" s="50"/>
      <c r="M131" s="50"/>
      <c r="N131" s="50"/>
      <c r="O131" s="50"/>
      <c r="P131" s="50"/>
      <c r="Q131" s="50"/>
      <c r="R131" s="50"/>
      <c r="S131" s="50"/>
      <c r="T131" s="50"/>
      <c r="U131" s="50"/>
      <c r="V131" s="50"/>
      <c r="W131" s="50"/>
      <c r="X131" s="50"/>
      <c r="Y131" s="50"/>
      <c r="Z131" s="50"/>
      <c r="AA131" s="50"/>
      <c r="AB131" s="50"/>
      <c r="AC131" s="50"/>
      <c r="AD131" s="50"/>
      <c r="AE131" s="50"/>
      <c r="AF131" s="50"/>
    </row>
    <row r="132" spans="1:32">
      <c r="A132" s="50"/>
      <c r="B132" s="50"/>
      <c r="C132" s="50"/>
      <c r="D132" s="50"/>
      <c r="E132" s="50"/>
      <c r="F132" s="50"/>
      <c r="G132" s="50"/>
      <c r="H132" s="50"/>
      <c r="I132" s="50"/>
      <c r="J132" s="50"/>
      <c r="K132" s="50"/>
      <c r="L132" s="50"/>
      <c r="M132" s="50"/>
      <c r="N132" s="50"/>
      <c r="O132" s="50"/>
      <c r="P132" s="50"/>
      <c r="Q132" s="50"/>
      <c r="R132" s="50"/>
      <c r="S132" s="50"/>
      <c r="T132" s="50"/>
      <c r="U132" s="50"/>
      <c r="V132" s="50"/>
      <c r="W132" s="50"/>
      <c r="X132" s="50"/>
      <c r="Y132" s="50"/>
      <c r="Z132" s="50"/>
      <c r="AA132" s="50"/>
      <c r="AB132" s="50"/>
      <c r="AC132" s="50"/>
      <c r="AD132" s="50"/>
      <c r="AE132" s="50"/>
      <c r="AF132" s="50"/>
    </row>
    <row r="133" spans="1:32">
      <c r="A133" s="50"/>
      <c r="B133" s="50"/>
      <c r="C133" s="50"/>
      <c r="D133" s="50"/>
      <c r="E133" s="50"/>
      <c r="F133" s="50"/>
      <c r="G133" s="50"/>
      <c r="H133" s="50"/>
      <c r="I133" s="50"/>
      <c r="J133" s="50"/>
      <c r="K133" s="50"/>
      <c r="L133" s="50"/>
      <c r="M133" s="50"/>
      <c r="N133" s="50"/>
      <c r="O133" s="50"/>
      <c r="P133" s="50"/>
      <c r="Q133" s="50"/>
      <c r="R133" s="50"/>
      <c r="S133" s="50"/>
      <c r="T133" s="50"/>
      <c r="U133" s="50"/>
      <c r="V133" s="50"/>
      <c r="W133" s="50"/>
      <c r="X133" s="50"/>
      <c r="Y133" s="50"/>
      <c r="Z133" s="50"/>
      <c r="AA133" s="50"/>
      <c r="AB133" s="50"/>
      <c r="AC133" s="50"/>
      <c r="AD133" s="50"/>
      <c r="AE133" s="50"/>
      <c r="AF133" s="50"/>
    </row>
    <row r="134" spans="1:32">
      <c r="A134" s="50"/>
      <c r="B134" s="50"/>
      <c r="C134" s="50"/>
      <c r="D134" s="50"/>
      <c r="E134" s="50"/>
      <c r="F134" s="50"/>
      <c r="G134" s="50"/>
      <c r="H134" s="50"/>
      <c r="I134" s="50"/>
      <c r="J134" s="50"/>
      <c r="K134" s="50"/>
      <c r="L134" s="50"/>
      <c r="M134" s="50"/>
      <c r="N134" s="50"/>
      <c r="O134" s="50"/>
      <c r="P134" s="50"/>
      <c r="Q134" s="50"/>
      <c r="R134" s="50"/>
      <c r="S134" s="50"/>
      <c r="T134" s="50"/>
      <c r="U134" s="50"/>
      <c r="V134" s="50"/>
      <c r="W134" s="50"/>
      <c r="X134" s="50"/>
      <c r="Y134" s="50"/>
      <c r="Z134" s="50"/>
      <c r="AA134" s="50"/>
      <c r="AB134" s="50"/>
      <c r="AC134" s="50"/>
      <c r="AD134" s="50"/>
      <c r="AE134" s="50"/>
      <c r="AF134" s="50"/>
    </row>
    <row r="135" spans="1:32">
      <c r="A135" s="50"/>
      <c r="B135" s="50"/>
      <c r="C135" s="50"/>
      <c r="D135" s="50"/>
      <c r="E135" s="50"/>
      <c r="F135" s="50"/>
      <c r="G135" s="50"/>
      <c r="H135" s="50"/>
      <c r="I135" s="50"/>
      <c r="J135" s="50"/>
      <c r="K135" s="50"/>
      <c r="L135" s="50"/>
      <c r="M135" s="50"/>
      <c r="N135" s="50"/>
      <c r="O135" s="50"/>
      <c r="P135" s="50"/>
      <c r="Q135" s="50"/>
      <c r="R135" s="50"/>
      <c r="S135" s="50"/>
      <c r="T135" s="50"/>
      <c r="U135" s="50"/>
      <c r="V135" s="50"/>
      <c r="W135" s="50"/>
      <c r="X135" s="50"/>
      <c r="Y135" s="50"/>
      <c r="Z135" s="50"/>
      <c r="AA135" s="50"/>
      <c r="AB135" s="50"/>
      <c r="AC135" s="50"/>
      <c r="AD135" s="50"/>
      <c r="AE135" s="50"/>
      <c r="AF135" s="50"/>
    </row>
    <row r="136" spans="1:32">
      <c r="A136" s="50"/>
      <c r="B136" s="50"/>
      <c r="C136" s="50"/>
      <c r="D136" s="50"/>
      <c r="E136" s="50"/>
      <c r="F136" s="50"/>
      <c r="G136" s="50"/>
      <c r="H136" s="50"/>
      <c r="I136" s="50"/>
      <c r="J136" s="50"/>
      <c r="K136" s="50"/>
      <c r="L136" s="50"/>
      <c r="M136" s="50"/>
      <c r="N136" s="50"/>
      <c r="O136" s="50"/>
      <c r="P136" s="50"/>
      <c r="Q136" s="50"/>
      <c r="R136" s="50"/>
      <c r="S136" s="50"/>
      <c r="T136" s="50"/>
      <c r="U136" s="50"/>
      <c r="V136" s="50"/>
      <c r="W136" s="50"/>
      <c r="X136" s="50"/>
      <c r="Y136" s="50"/>
      <c r="Z136" s="50"/>
      <c r="AA136" s="50"/>
      <c r="AB136" s="50"/>
      <c r="AC136" s="50"/>
      <c r="AD136" s="50"/>
      <c r="AE136" s="50"/>
      <c r="AF136" s="50"/>
    </row>
    <row r="137" spans="1:32">
      <c r="A137" s="50"/>
      <c r="B137" s="50"/>
      <c r="C137" s="50"/>
      <c r="D137" s="50"/>
      <c r="E137" s="50"/>
      <c r="F137" s="50"/>
      <c r="G137" s="50"/>
      <c r="H137" s="50"/>
      <c r="I137" s="50"/>
      <c r="J137" s="50"/>
      <c r="K137" s="50"/>
      <c r="L137" s="50"/>
      <c r="M137" s="50"/>
      <c r="N137" s="50"/>
      <c r="O137" s="50"/>
      <c r="P137" s="50"/>
      <c r="Q137" s="50"/>
      <c r="R137" s="50"/>
      <c r="S137" s="50"/>
      <c r="T137" s="50"/>
      <c r="U137" s="50"/>
      <c r="V137" s="50"/>
      <c r="W137" s="50"/>
      <c r="X137" s="50"/>
      <c r="Y137" s="50"/>
      <c r="Z137" s="50"/>
      <c r="AA137" s="50"/>
      <c r="AB137" s="50"/>
      <c r="AC137" s="50"/>
      <c r="AD137" s="50"/>
      <c r="AE137" s="50"/>
      <c r="AF137" s="50"/>
    </row>
    <row r="138" spans="1:32">
      <c r="A138" s="50"/>
      <c r="B138" s="50"/>
      <c r="C138" s="50"/>
      <c r="D138" s="50"/>
      <c r="E138" s="50"/>
      <c r="F138" s="50"/>
      <c r="G138" s="50"/>
      <c r="H138" s="50"/>
      <c r="I138" s="50"/>
      <c r="J138" s="50"/>
      <c r="K138" s="50"/>
      <c r="L138" s="50"/>
      <c r="M138" s="50"/>
      <c r="N138" s="50"/>
      <c r="O138" s="50"/>
      <c r="P138" s="50"/>
      <c r="Q138" s="50"/>
      <c r="R138" s="50"/>
      <c r="S138" s="50"/>
      <c r="T138" s="50"/>
      <c r="U138" s="50"/>
      <c r="V138" s="50"/>
      <c r="W138" s="50"/>
      <c r="X138" s="50"/>
      <c r="Y138" s="50"/>
      <c r="Z138" s="50"/>
      <c r="AA138" s="50"/>
      <c r="AB138" s="50"/>
      <c r="AC138" s="50"/>
      <c r="AD138" s="50"/>
      <c r="AE138" s="50"/>
      <c r="AF138" s="50"/>
    </row>
    <row r="139" spans="1:32">
      <c r="A139" s="50"/>
      <c r="B139" s="50"/>
      <c r="C139" s="50"/>
      <c r="D139" s="50"/>
      <c r="E139" s="50"/>
      <c r="F139" s="50"/>
      <c r="G139" s="50"/>
      <c r="H139" s="50"/>
      <c r="I139" s="50"/>
      <c r="J139" s="50"/>
      <c r="K139" s="50"/>
      <c r="L139" s="50"/>
      <c r="M139" s="50"/>
      <c r="N139" s="50"/>
      <c r="O139" s="50"/>
      <c r="P139" s="50"/>
      <c r="Q139" s="50"/>
      <c r="R139" s="50"/>
      <c r="S139" s="50"/>
      <c r="T139" s="50"/>
      <c r="U139" s="50"/>
      <c r="V139" s="50"/>
      <c r="W139" s="50"/>
      <c r="X139" s="50"/>
      <c r="Y139" s="50"/>
      <c r="Z139" s="50"/>
      <c r="AA139" s="50"/>
      <c r="AB139" s="50"/>
      <c r="AC139" s="50"/>
      <c r="AD139" s="50"/>
      <c r="AE139" s="50"/>
      <c r="AF139" s="50"/>
    </row>
    <row r="140" spans="1:32">
      <c r="A140" s="50"/>
      <c r="B140" s="50"/>
      <c r="C140" s="50"/>
      <c r="D140" s="50"/>
      <c r="E140" s="50"/>
      <c r="F140" s="50"/>
      <c r="G140" s="50"/>
      <c r="H140" s="50"/>
      <c r="I140" s="50"/>
      <c r="J140" s="50"/>
      <c r="K140" s="50"/>
      <c r="L140" s="50"/>
      <c r="M140" s="50"/>
      <c r="N140" s="50"/>
      <c r="O140" s="50"/>
      <c r="P140" s="50"/>
      <c r="Q140" s="50"/>
      <c r="R140" s="50"/>
      <c r="S140" s="50"/>
      <c r="T140" s="50"/>
      <c r="U140" s="50"/>
      <c r="V140" s="50"/>
      <c r="W140" s="50"/>
      <c r="X140" s="50"/>
      <c r="Y140" s="50"/>
      <c r="Z140" s="50"/>
      <c r="AA140" s="50"/>
      <c r="AB140" s="50"/>
      <c r="AC140" s="50"/>
      <c r="AD140" s="50"/>
      <c r="AE140" s="50"/>
      <c r="AF140" s="50"/>
    </row>
    <row r="141" spans="1:32">
      <c r="A141" s="50"/>
      <c r="B141" s="50"/>
      <c r="C141" s="50"/>
      <c r="D141" s="50"/>
      <c r="E141" s="50"/>
      <c r="F141" s="50"/>
      <c r="G141" s="50"/>
      <c r="H141" s="50"/>
      <c r="I141" s="50"/>
      <c r="J141" s="50"/>
      <c r="K141" s="50"/>
      <c r="L141" s="50"/>
      <c r="M141" s="50"/>
      <c r="N141" s="50"/>
      <c r="O141" s="50"/>
      <c r="P141" s="50"/>
      <c r="Q141" s="50"/>
      <c r="R141" s="50"/>
      <c r="S141" s="50"/>
      <c r="T141" s="50"/>
      <c r="U141" s="50"/>
      <c r="V141" s="50"/>
      <c r="W141" s="50"/>
      <c r="X141" s="50"/>
      <c r="Y141" s="50"/>
      <c r="Z141" s="50"/>
      <c r="AA141" s="50"/>
      <c r="AB141" s="50"/>
      <c r="AC141" s="50"/>
      <c r="AD141" s="50"/>
      <c r="AE141" s="50"/>
      <c r="AF141" s="50"/>
    </row>
    <row r="142" spans="1:32">
      <c r="A142" s="50"/>
      <c r="B142" s="50"/>
      <c r="C142" s="50"/>
      <c r="D142" s="50"/>
      <c r="E142" s="50"/>
      <c r="F142" s="50"/>
      <c r="G142" s="50"/>
      <c r="H142" s="50"/>
      <c r="I142" s="50"/>
      <c r="J142" s="50"/>
      <c r="K142" s="50"/>
      <c r="L142" s="50"/>
      <c r="M142" s="50"/>
      <c r="N142" s="50"/>
      <c r="O142" s="50"/>
      <c r="P142" s="50"/>
      <c r="Q142" s="50"/>
      <c r="R142" s="50"/>
      <c r="S142" s="50"/>
      <c r="T142" s="50"/>
      <c r="U142" s="50"/>
      <c r="V142" s="50"/>
      <c r="W142" s="50"/>
      <c r="X142" s="50"/>
      <c r="Y142" s="50"/>
      <c r="Z142" s="50"/>
      <c r="AA142" s="50"/>
      <c r="AB142" s="50"/>
      <c r="AC142" s="50"/>
      <c r="AD142" s="50"/>
      <c r="AE142" s="50"/>
      <c r="AF142" s="50"/>
    </row>
    <row r="143" spans="1:32">
      <c r="A143" s="50"/>
      <c r="B143" s="50"/>
      <c r="C143" s="50"/>
      <c r="D143" s="50"/>
      <c r="E143" s="50"/>
      <c r="F143" s="50"/>
      <c r="G143" s="50"/>
      <c r="H143" s="50"/>
      <c r="I143" s="50"/>
      <c r="J143" s="50"/>
      <c r="K143" s="50"/>
      <c r="L143" s="50"/>
      <c r="M143" s="50"/>
      <c r="N143" s="50"/>
      <c r="O143" s="50"/>
      <c r="P143" s="50"/>
      <c r="Q143" s="50"/>
      <c r="R143" s="50"/>
      <c r="S143" s="50"/>
      <c r="T143" s="50"/>
      <c r="U143" s="50"/>
      <c r="V143" s="50"/>
      <c r="W143" s="50"/>
      <c r="X143" s="50"/>
      <c r="Y143" s="50"/>
      <c r="Z143" s="50"/>
      <c r="AA143" s="50"/>
      <c r="AB143" s="50"/>
      <c r="AC143" s="50"/>
      <c r="AD143" s="50"/>
      <c r="AE143" s="50"/>
      <c r="AF143" s="50"/>
    </row>
    <row r="144" spans="1:32">
      <c r="A144" s="50"/>
      <c r="B144" s="50"/>
      <c r="C144" s="50"/>
      <c r="D144" s="50"/>
      <c r="E144" s="50"/>
      <c r="F144" s="50"/>
      <c r="G144" s="50"/>
      <c r="H144" s="50"/>
      <c r="I144" s="50"/>
      <c r="J144" s="50"/>
      <c r="K144" s="50"/>
      <c r="L144" s="50"/>
      <c r="M144" s="50"/>
      <c r="N144" s="50"/>
      <c r="O144" s="50"/>
      <c r="P144" s="50"/>
      <c r="Q144" s="50"/>
      <c r="R144" s="50"/>
      <c r="S144" s="50"/>
      <c r="T144" s="50"/>
      <c r="U144" s="50"/>
      <c r="V144" s="50"/>
      <c r="W144" s="50"/>
      <c r="X144" s="50"/>
      <c r="Y144" s="50"/>
      <c r="Z144" s="50"/>
      <c r="AA144" s="50"/>
      <c r="AB144" s="50"/>
      <c r="AC144" s="50"/>
      <c r="AD144" s="50"/>
      <c r="AE144" s="50"/>
      <c r="AF144" s="50"/>
    </row>
    <row r="145" spans="1:32">
      <c r="A145" s="50"/>
      <c r="B145" s="50"/>
      <c r="C145" s="50"/>
      <c r="D145" s="50"/>
      <c r="E145" s="50"/>
      <c r="F145" s="50"/>
      <c r="G145" s="50"/>
      <c r="H145" s="50"/>
      <c r="I145" s="50"/>
      <c r="J145" s="50"/>
      <c r="K145" s="50"/>
      <c r="L145" s="50"/>
      <c r="M145" s="50"/>
      <c r="N145" s="50"/>
      <c r="O145" s="50"/>
      <c r="P145" s="50"/>
      <c r="Q145" s="50"/>
      <c r="R145" s="50"/>
      <c r="S145" s="50"/>
      <c r="T145" s="50"/>
      <c r="U145" s="50"/>
      <c r="V145" s="50"/>
      <c r="W145" s="50"/>
      <c r="X145" s="50"/>
      <c r="Y145" s="50"/>
      <c r="Z145" s="50"/>
      <c r="AA145" s="50"/>
      <c r="AB145" s="50"/>
      <c r="AC145" s="50"/>
      <c r="AD145" s="50"/>
      <c r="AE145" s="50"/>
      <c r="AF145" s="50"/>
    </row>
    <row r="146" spans="1:32">
      <c r="A146" s="50"/>
      <c r="B146" s="50"/>
      <c r="C146" s="50"/>
      <c r="D146" s="50"/>
      <c r="E146" s="50"/>
      <c r="F146" s="50"/>
      <c r="G146" s="50"/>
      <c r="H146" s="50"/>
      <c r="I146" s="50"/>
      <c r="J146" s="50"/>
      <c r="K146" s="50"/>
      <c r="L146" s="50"/>
      <c r="M146" s="50"/>
      <c r="N146" s="50"/>
      <c r="O146" s="50"/>
      <c r="P146" s="50"/>
      <c r="Q146" s="50"/>
      <c r="R146" s="50"/>
      <c r="S146" s="50"/>
      <c r="T146" s="50"/>
      <c r="U146" s="50"/>
      <c r="V146" s="50"/>
      <c r="W146" s="50"/>
      <c r="X146" s="50"/>
      <c r="Y146" s="50"/>
      <c r="Z146" s="50"/>
      <c r="AA146" s="50"/>
      <c r="AB146" s="50"/>
      <c r="AC146" s="50"/>
      <c r="AD146" s="50"/>
      <c r="AE146" s="50"/>
      <c r="AF146" s="50"/>
    </row>
    <row r="147" spans="1:32">
      <c r="A147" s="50"/>
      <c r="B147" s="50"/>
      <c r="C147" s="50"/>
      <c r="D147" s="50"/>
      <c r="E147" s="50"/>
      <c r="F147" s="50"/>
      <c r="G147" s="50"/>
      <c r="H147" s="50"/>
      <c r="I147" s="50"/>
      <c r="J147" s="50"/>
      <c r="K147" s="50"/>
      <c r="L147" s="50"/>
      <c r="M147" s="50"/>
      <c r="N147" s="50"/>
      <c r="O147" s="50"/>
      <c r="P147" s="50"/>
      <c r="Q147" s="50"/>
      <c r="R147" s="50"/>
      <c r="S147" s="50"/>
      <c r="T147" s="50"/>
      <c r="U147" s="50"/>
      <c r="V147" s="50"/>
      <c r="W147" s="50"/>
      <c r="X147" s="50"/>
      <c r="Y147" s="50"/>
      <c r="Z147" s="50"/>
      <c r="AA147" s="50"/>
      <c r="AB147" s="50"/>
      <c r="AC147" s="50"/>
      <c r="AD147" s="50"/>
      <c r="AE147" s="50"/>
      <c r="AF147" s="50"/>
    </row>
    <row r="148" spans="1:32">
      <c r="A148" s="50"/>
      <c r="B148" s="50"/>
      <c r="C148" s="50"/>
      <c r="D148" s="50"/>
      <c r="E148" s="50"/>
      <c r="F148" s="50"/>
      <c r="G148" s="50"/>
      <c r="H148" s="50"/>
      <c r="I148" s="50"/>
      <c r="J148" s="50"/>
      <c r="K148" s="50"/>
      <c r="L148" s="50"/>
      <c r="M148" s="50"/>
      <c r="N148" s="50"/>
      <c r="O148" s="50"/>
      <c r="P148" s="50"/>
      <c r="Q148" s="50"/>
      <c r="R148" s="50"/>
      <c r="S148" s="50"/>
      <c r="T148" s="50"/>
      <c r="U148" s="50"/>
      <c r="V148" s="50"/>
      <c r="W148" s="50"/>
      <c r="X148" s="50"/>
      <c r="Y148" s="50"/>
      <c r="Z148" s="50"/>
      <c r="AA148" s="50"/>
      <c r="AB148" s="50"/>
      <c r="AC148" s="50"/>
      <c r="AD148" s="50"/>
      <c r="AE148" s="50"/>
      <c r="AF148" s="50"/>
    </row>
    <row r="149" spans="1:32">
      <c r="A149" s="50"/>
      <c r="B149" s="50"/>
      <c r="C149" s="50"/>
      <c r="D149" s="50"/>
      <c r="E149" s="50"/>
      <c r="F149" s="50"/>
      <c r="G149" s="50"/>
      <c r="H149" s="50"/>
      <c r="I149" s="50"/>
      <c r="J149" s="50"/>
      <c r="K149" s="50"/>
      <c r="L149" s="50"/>
      <c r="M149" s="50"/>
      <c r="N149" s="50"/>
      <c r="O149" s="50"/>
      <c r="P149" s="50"/>
      <c r="Q149" s="50"/>
      <c r="R149" s="50"/>
      <c r="S149" s="50"/>
      <c r="T149" s="50"/>
      <c r="U149" s="50"/>
      <c r="V149" s="50"/>
      <c r="W149" s="50"/>
      <c r="X149" s="50"/>
      <c r="Y149" s="50"/>
      <c r="Z149" s="50"/>
      <c r="AA149" s="50"/>
      <c r="AB149" s="50"/>
      <c r="AC149" s="50"/>
      <c r="AD149" s="50"/>
      <c r="AE149" s="50"/>
      <c r="AF149" s="50"/>
    </row>
    <row r="150" spans="1:32">
      <c r="A150" s="50"/>
      <c r="B150" s="50"/>
      <c r="C150" s="50"/>
      <c r="D150" s="50"/>
      <c r="E150" s="50"/>
      <c r="F150" s="50"/>
      <c r="G150" s="50"/>
      <c r="H150" s="50"/>
      <c r="I150" s="50"/>
      <c r="J150" s="50"/>
      <c r="K150" s="50"/>
      <c r="L150" s="50"/>
      <c r="M150" s="50"/>
      <c r="N150" s="50"/>
      <c r="O150" s="50"/>
      <c r="P150" s="50"/>
      <c r="Q150" s="50"/>
      <c r="R150" s="50"/>
      <c r="S150" s="50"/>
      <c r="T150" s="50"/>
      <c r="U150" s="50"/>
      <c r="V150" s="50"/>
      <c r="W150" s="50"/>
      <c r="X150" s="50"/>
      <c r="Y150" s="50"/>
      <c r="Z150" s="50"/>
      <c r="AA150" s="50"/>
      <c r="AB150" s="50"/>
      <c r="AC150" s="50"/>
      <c r="AD150" s="50"/>
      <c r="AE150" s="50"/>
      <c r="AF150" s="50"/>
    </row>
    <row r="151" spans="1:32">
      <c r="A151" s="50"/>
      <c r="B151" s="50"/>
      <c r="C151" s="50"/>
      <c r="D151" s="50"/>
      <c r="E151" s="50"/>
      <c r="F151" s="50"/>
      <c r="G151" s="50"/>
      <c r="H151" s="50"/>
      <c r="I151" s="50"/>
      <c r="J151" s="50"/>
      <c r="K151" s="50"/>
      <c r="L151" s="50"/>
      <c r="M151" s="50"/>
      <c r="N151" s="50"/>
      <c r="O151" s="50"/>
      <c r="P151" s="50"/>
      <c r="Q151" s="50"/>
      <c r="R151" s="50"/>
      <c r="S151" s="50"/>
      <c r="T151" s="50"/>
      <c r="U151" s="50"/>
      <c r="V151" s="50"/>
      <c r="W151" s="50"/>
      <c r="X151" s="50"/>
      <c r="Y151" s="50"/>
      <c r="Z151" s="50"/>
      <c r="AA151" s="50"/>
      <c r="AB151" s="50"/>
      <c r="AC151" s="50"/>
      <c r="AD151" s="50"/>
      <c r="AE151" s="50"/>
      <c r="AF151" s="50"/>
    </row>
    <row r="152" spans="1:32">
      <c r="A152" s="50"/>
      <c r="B152" s="50"/>
      <c r="C152" s="50"/>
      <c r="D152" s="50"/>
      <c r="E152" s="50"/>
      <c r="F152" s="50"/>
      <c r="G152" s="50"/>
      <c r="H152" s="50"/>
      <c r="I152" s="50"/>
      <c r="J152" s="50"/>
      <c r="K152" s="50"/>
      <c r="L152" s="50"/>
      <c r="M152" s="50"/>
      <c r="N152" s="50"/>
      <c r="O152" s="50"/>
      <c r="P152" s="50"/>
      <c r="Q152" s="50"/>
      <c r="R152" s="50"/>
      <c r="S152" s="50"/>
      <c r="T152" s="50"/>
      <c r="U152" s="50"/>
      <c r="V152" s="50"/>
      <c r="W152" s="50"/>
      <c r="X152" s="50"/>
      <c r="Y152" s="50"/>
      <c r="Z152" s="50"/>
      <c r="AA152" s="50"/>
      <c r="AB152" s="50"/>
      <c r="AC152" s="50"/>
      <c r="AD152" s="50"/>
      <c r="AE152" s="50"/>
      <c r="AF152" s="50"/>
    </row>
    <row r="153" spans="1:32">
      <c r="A153" s="50"/>
      <c r="B153" s="50"/>
      <c r="C153" s="50"/>
      <c r="D153" s="50"/>
      <c r="E153" s="50"/>
      <c r="F153" s="50"/>
      <c r="G153" s="50"/>
      <c r="H153" s="50"/>
      <c r="I153" s="50"/>
      <c r="J153" s="50"/>
      <c r="K153" s="50"/>
      <c r="L153" s="50"/>
      <c r="M153" s="50"/>
      <c r="N153" s="50"/>
      <c r="O153" s="50"/>
      <c r="P153" s="50"/>
      <c r="Q153" s="50"/>
      <c r="R153" s="50"/>
      <c r="S153" s="50"/>
      <c r="T153" s="50"/>
      <c r="U153" s="50"/>
      <c r="V153" s="50"/>
      <c r="W153" s="50"/>
      <c r="X153" s="50"/>
      <c r="Y153" s="50"/>
      <c r="Z153" s="50"/>
      <c r="AA153" s="50"/>
      <c r="AB153" s="50"/>
      <c r="AC153" s="50"/>
      <c r="AD153" s="50"/>
      <c r="AE153" s="50"/>
      <c r="AF153" s="50"/>
    </row>
    <row r="154" spans="1:32">
      <c r="A154" s="50"/>
      <c r="B154" s="50"/>
      <c r="C154" s="50"/>
      <c r="D154" s="50"/>
      <c r="E154" s="50"/>
      <c r="F154" s="50"/>
      <c r="G154" s="50"/>
      <c r="H154" s="50"/>
      <c r="I154" s="50"/>
      <c r="J154" s="50"/>
      <c r="K154" s="50"/>
      <c r="L154" s="50"/>
      <c r="M154" s="50"/>
      <c r="N154" s="50"/>
      <c r="O154" s="50"/>
      <c r="P154" s="50"/>
      <c r="Q154" s="50"/>
      <c r="R154" s="50"/>
      <c r="S154" s="50"/>
      <c r="T154" s="50"/>
      <c r="U154" s="50"/>
      <c r="V154" s="50"/>
      <c r="W154" s="50"/>
      <c r="X154" s="50"/>
      <c r="Y154" s="50"/>
      <c r="Z154" s="50"/>
      <c r="AA154" s="50"/>
      <c r="AB154" s="50"/>
      <c r="AC154" s="50"/>
      <c r="AD154" s="50"/>
      <c r="AE154" s="50"/>
      <c r="AF154" s="50"/>
    </row>
    <row r="155" spans="1:32">
      <c r="A155" s="50"/>
      <c r="B155" s="50"/>
      <c r="C155" s="50"/>
      <c r="D155" s="50"/>
      <c r="E155" s="50"/>
      <c r="F155" s="50"/>
      <c r="G155" s="50"/>
      <c r="H155" s="50"/>
      <c r="I155" s="50"/>
      <c r="J155" s="50"/>
      <c r="K155" s="50"/>
      <c r="L155" s="50"/>
      <c r="M155" s="50"/>
      <c r="N155" s="50"/>
      <c r="O155" s="50"/>
      <c r="P155" s="50"/>
      <c r="Q155" s="50"/>
      <c r="R155" s="50"/>
      <c r="S155" s="50"/>
      <c r="T155" s="50"/>
      <c r="U155" s="50"/>
      <c r="V155" s="50"/>
      <c r="W155" s="50"/>
      <c r="X155" s="50"/>
      <c r="Y155" s="50"/>
      <c r="Z155" s="50"/>
      <c r="AA155" s="50"/>
      <c r="AB155" s="50"/>
      <c r="AC155" s="50"/>
      <c r="AD155" s="50"/>
      <c r="AE155" s="50"/>
      <c r="AF155" s="50"/>
    </row>
    <row r="156" spans="1:32">
      <c r="A156" s="50"/>
      <c r="B156" s="50"/>
      <c r="C156" s="50"/>
      <c r="D156" s="50"/>
      <c r="E156" s="50"/>
      <c r="F156" s="50"/>
      <c r="G156" s="50"/>
      <c r="H156" s="50"/>
      <c r="I156" s="50"/>
      <c r="J156" s="50"/>
      <c r="K156" s="50"/>
      <c r="L156" s="50"/>
      <c r="M156" s="50"/>
      <c r="N156" s="50"/>
      <c r="O156" s="50"/>
      <c r="P156" s="50"/>
      <c r="Q156" s="50"/>
      <c r="R156" s="50"/>
      <c r="S156" s="50"/>
      <c r="T156" s="50"/>
      <c r="U156" s="50"/>
      <c r="V156" s="50"/>
      <c r="W156" s="50"/>
      <c r="X156" s="50"/>
      <c r="Y156" s="50"/>
      <c r="Z156" s="50"/>
      <c r="AA156" s="50"/>
      <c r="AB156" s="50"/>
      <c r="AC156" s="50"/>
      <c r="AD156" s="50"/>
      <c r="AE156" s="50"/>
      <c r="AF156" s="50"/>
    </row>
    <row r="157" spans="1:32">
      <c r="A157" s="50"/>
      <c r="B157" s="50"/>
      <c r="C157" s="50"/>
      <c r="D157" s="50"/>
      <c r="E157" s="50"/>
      <c r="F157" s="50"/>
      <c r="G157" s="50"/>
      <c r="H157" s="50"/>
      <c r="I157" s="50"/>
      <c r="J157" s="50"/>
      <c r="K157" s="50"/>
      <c r="L157" s="50"/>
      <c r="M157" s="50"/>
      <c r="N157" s="50"/>
      <c r="O157" s="50"/>
      <c r="P157" s="50"/>
      <c r="Q157" s="50"/>
      <c r="R157" s="50"/>
      <c r="S157" s="50"/>
      <c r="T157" s="50"/>
      <c r="U157" s="50"/>
      <c r="V157" s="50"/>
      <c r="W157" s="50"/>
      <c r="X157" s="50"/>
      <c r="Y157" s="50"/>
      <c r="Z157" s="50"/>
      <c r="AA157" s="50"/>
      <c r="AB157" s="50"/>
      <c r="AC157" s="50"/>
      <c r="AD157" s="50"/>
      <c r="AE157" s="50"/>
      <c r="AF157" s="50"/>
    </row>
    <row r="158" spans="1:32">
      <c r="A158" s="50"/>
      <c r="B158" s="50"/>
      <c r="C158" s="50"/>
      <c r="D158" s="50"/>
      <c r="E158" s="50"/>
      <c r="F158" s="50"/>
      <c r="G158" s="50"/>
      <c r="H158" s="50"/>
      <c r="I158" s="50"/>
      <c r="J158" s="50"/>
      <c r="K158" s="50"/>
      <c r="L158" s="50"/>
      <c r="M158" s="50"/>
      <c r="N158" s="50"/>
      <c r="O158" s="50"/>
      <c r="P158" s="50"/>
      <c r="Q158" s="50"/>
      <c r="R158" s="50"/>
      <c r="S158" s="50"/>
      <c r="T158" s="50"/>
      <c r="U158" s="50"/>
      <c r="V158" s="50"/>
      <c r="W158" s="50"/>
      <c r="X158" s="50"/>
      <c r="Y158" s="50"/>
      <c r="Z158" s="50"/>
      <c r="AA158" s="50"/>
      <c r="AB158" s="50"/>
      <c r="AC158" s="50"/>
      <c r="AD158" s="50"/>
      <c r="AE158" s="50"/>
      <c r="AF158" s="50"/>
    </row>
    <row r="159" spans="1:32">
      <c r="A159" s="50"/>
      <c r="B159" s="50"/>
      <c r="C159" s="50"/>
      <c r="D159" s="50"/>
      <c r="E159" s="50"/>
      <c r="F159" s="50"/>
      <c r="G159" s="50"/>
      <c r="H159" s="50"/>
      <c r="I159" s="50"/>
      <c r="J159" s="50"/>
      <c r="K159" s="50"/>
      <c r="L159" s="50"/>
      <c r="M159" s="50"/>
      <c r="N159" s="50"/>
      <c r="O159" s="50"/>
      <c r="P159" s="50"/>
      <c r="Q159" s="50"/>
      <c r="R159" s="50"/>
      <c r="S159" s="50"/>
      <c r="T159" s="50"/>
      <c r="U159" s="50"/>
      <c r="V159" s="50"/>
      <c r="W159" s="50"/>
      <c r="X159" s="50"/>
      <c r="Y159" s="50"/>
      <c r="Z159" s="50"/>
      <c r="AA159" s="50"/>
      <c r="AB159" s="50"/>
      <c r="AC159" s="50"/>
      <c r="AD159" s="50"/>
      <c r="AE159" s="50"/>
      <c r="AF159" s="50"/>
    </row>
    <row r="160" spans="1:32">
      <c r="A160" s="50"/>
      <c r="B160" s="50"/>
      <c r="C160" s="50"/>
      <c r="D160" s="50"/>
      <c r="E160" s="50"/>
      <c r="F160" s="50"/>
      <c r="G160" s="50"/>
      <c r="H160" s="50"/>
      <c r="I160" s="50"/>
      <c r="J160" s="50"/>
      <c r="K160" s="50"/>
      <c r="L160" s="50"/>
      <c r="M160" s="50"/>
      <c r="N160" s="50"/>
      <c r="O160" s="50"/>
      <c r="P160" s="50"/>
      <c r="Q160" s="50"/>
      <c r="R160" s="50"/>
      <c r="S160" s="50"/>
      <c r="T160" s="50"/>
      <c r="U160" s="50"/>
      <c r="V160" s="50"/>
      <c r="W160" s="50"/>
      <c r="X160" s="50"/>
      <c r="Y160" s="50"/>
      <c r="Z160" s="50"/>
      <c r="AA160" s="50"/>
      <c r="AB160" s="50"/>
      <c r="AC160" s="50"/>
      <c r="AD160" s="50"/>
      <c r="AE160" s="50"/>
      <c r="AF160" s="50"/>
    </row>
    <row r="161" spans="1:32">
      <c r="A161" s="50"/>
      <c r="B161" s="50"/>
      <c r="C161" s="50"/>
      <c r="D161" s="50"/>
      <c r="E161" s="50"/>
      <c r="F161" s="50"/>
      <c r="G161" s="50"/>
      <c r="H161" s="50"/>
      <c r="I161" s="50"/>
      <c r="J161" s="50"/>
      <c r="K161" s="50"/>
      <c r="L161" s="50"/>
      <c r="M161" s="50"/>
      <c r="N161" s="50"/>
      <c r="O161" s="50"/>
      <c r="P161" s="50"/>
      <c r="Q161" s="50"/>
      <c r="R161" s="50"/>
      <c r="S161" s="50"/>
      <c r="T161" s="50"/>
      <c r="U161" s="50"/>
      <c r="V161" s="50"/>
      <c r="W161" s="50"/>
      <c r="X161" s="50"/>
      <c r="Y161" s="50"/>
      <c r="Z161" s="50"/>
      <c r="AA161" s="50"/>
      <c r="AB161" s="50"/>
      <c r="AC161" s="50"/>
      <c r="AD161" s="50"/>
      <c r="AE161" s="50"/>
      <c r="AF161" s="50"/>
    </row>
    <row r="162" spans="1:32">
      <c r="A162" s="50"/>
      <c r="B162" s="50"/>
      <c r="C162" s="50"/>
      <c r="D162" s="50"/>
      <c r="E162" s="50"/>
      <c r="F162" s="50"/>
      <c r="G162" s="50"/>
      <c r="H162" s="50"/>
      <c r="I162" s="50"/>
      <c r="J162" s="50"/>
      <c r="K162" s="50"/>
      <c r="L162" s="50"/>
      <c r="M162" s="50"/>
      <c r="N162" s="50"/>
      <c r="O162" s="50"/>
      <c r="P162" s="50"/>
      <c r="Q162" s="50"/>
      <c r="R162" s="50"/>
      <c r="S162" s="50"/>
      <c r="T162" s="50"/>
      <c r="U162" s="50"/>
      <c r="V162" s="50"/>
      <c r="W162" s="50"/>
      <c r="X162" s="50"/>
      <c r="Y162" s="50"/>
      <c r="Z162" s="50"/>
      <c r="AA162" s="50"/>
      <c r="AB162" s="50"/>
      <c r="AC162" s="50"/>
      <c r="AD162" s="50"/>
      <c r="AE162" s="50"/>
      <c r="AF162" s="50"/>
    </row>
    <row r="163" spans="1:32">
      <c r="A163" s="50"/>
      <c r="B163" s="50"/>
      <c r="C163" s="50"/>
      <c r="D163" s="50"/>
      <c r="E163" s="50"/>
      <c r="F163" s="50"/>
      <c r="G163" s="50"/>
      <c r="H163" s="50"/>
      <c r="I163" s="50"/>
      <c r="J163" s="50"/>
      <c r="K163" s="50"/>
      <c r="L163" s="50"/>
      <c r="M163" s="50"/>
      <c r="N163" s="50"/>
      <c r="O163" s="50"/>
      <c r="P163" s="50"/>
      <c r="Q163" s="50"/>
      <c r="R163" s="50"/>
      <c r="S163" s="50"/>
      <c r="T163" s="50"/>
      <c r="U163" s="50"/>
      <c r="V163" s="50"/>
      <c r="W163" s="50"/>
      <c r="X163" s="50"/>
      <c r="Y163" s="50"/>
      <c r="Z163" s="50"/>
      <c r="AA163" s="50"/>
      <c r="AB163" s="50"/>
      <c r="AC163" s="50"/>
      <c r="AD163" s="50"/>
      <c r="AE163" s="50"/>
      <c r="AF163" s="50"/>
    </row>
    <row r="164" spans="1:32">
      <c r="A164" s="50"/>
      <c r="B164" s="50"/>
      <c r="C164" s="50"/>
      <c r="D164" s="50"/>
      <c r="E164" s="50"/>
      <c r="F164" s="50"/>
      <c r="G164" s="50"/>
      <c r="H164" s="50"/>
      <c r="I164" s="50"/>
      <c r="J164" s="50"/>
      <c r="K164" s="50"/>
      <c r="L164" s="50"/>
      <c r="M164" s="50"/>
      <c r="N164" s="50"/>
      <c r="O164" s="50"/>
      <c r="P164" s="50"/>
      <c r="Q164" s="50"/>
      <c r="R164" s="50"/>
      <c r="S164" s="50"/>
      <c r="T164" s="50"/>
      <c r="U164" s="50"/>
      <c r="V164" s="50"/>
      <c r="W164" s="50"/>
      <c r="X164" s="50"/>
      <c r="Y164" s="50"/>
      <c r="Z164" s="50"/>
      <c r="AA164" s="50"/>
      <c r="AB164" s="50"/>
      <c r="AC164" s="50"/>
      <c r="AD164" s="50"/>
      <c r="AE164" s="50"/>
      <c r="AF164" s="50"/>
    </row>
    <row r="165" spans="1:32">
      <c r="A165" s="50"/>
      <c r="B165" s="50"/>
      <c r="C165" s="50"/>
      <c r="D165" s="50"/>
      <c r="E165" s="50"/>
      <c r="F165" s="50"/>
      <c r="G165" s="50"/>
      <c r="H165" s="50"/>
      <c r="I165" s="50"/>
      <c r="J165" s="50"/>
      <c r="K165" s="50"/>
      <c r="L165" s="50"/>
      <c r="M165" s="50"/>
      <c r="N165" s="50"/>
      <c r="O165" s="50"/>
      <c r="P165" s="50"/>
      <c r="Q165" s="50"/>
      <c r="R165" s="50"/>
      <c r="S165" s="50"/>
      <c r="T165" s="50"/>
      <c r="U165" s="50"/>
      <c r="V165" s="50"/>
      <c r="W165" s="50"/>
      <c r="X165" s="50"/>
      <c r="Y165" s="50"/>
      <c r="Z165" s="50"/>
      <c r="AA165" s="50"/>
      <c r="AB165" s="50"/>
      <c r="AC165" s="50"/>
      <c r="AD165" s="50"/>
      <c r="AE165" s="50"/>
      <c r="AF165" s="50"/>
    </row>
    <row r="166" spans="1:32">
      <c r="A166" s="50"/>
      <c r="B166" s="50"/>
      <c r="C166" s="50"/>
      <c r="D166" s="50"/>
      <c r="E166" s="50"/>
      <c r="F166" s="50"/>
      <c r="G166" s="50"/>
      <c r="H166" s="50"/>
      <c r="I166" s="50"/>
      <c r="J166" s="50"/>
      <c r="K166" s="50"/>
      <c r="L166" s="50"/>
      <c r="M166" s="50"/>
      <c r="N166" s="50"/>
      <c r="O166" s="50"/>
      <c r="P166" s="50"/>
      <c r="Q166" s="50"/>
      <c r="R166" s="50"/>
      <c r="S166" s="50"/>
      <c r="T166" s="50"/>
      <c r="U166" s="50"/>
      <c r="V166" s="50"/>
      <c r="W166" s="50"/>
      <c r="X166" s="50"/>
      <c r="Y166" s="50"/>
      <c r="Z166" s="50"/>
      <c r="AA166" s="50"/>
      <c r="AB166" s="50"/>
      <c r="AC166" s="50"/>
      <c r="AD166" s="50"/>
      <c r="AE166" s="50"/>
      <c r="AF166" s="50"/>
    </row>
    <row r="167" spans="1:32">
      <c r="A167" s="50"/>
      <c r="B167" s="50"/>
      <c r="C167" s="50"/>
      <c r="D167" s="50"/>
      <c r="E167" s="50"/>
      <c r="F167" s="50"/>
      <c r="G167" s="50"/>
      <c r="H167" s="50"/>
      <c r="I167" s="50"/>
      <c r="J167" s="50"/>
      <c r="K167" s="50"/>
      <c r="L167" s="50"/>
      <c r="M167" s="50"/>
      <c r="N167" s="50"/>
      <c r="O167" s="50"/>
      <c r="P167" s="50"/>
      <c r="Q167" s="50"/>
      <c r="R167" s="50"/>
      <c r="S167" s="50"/>
      <c r="T167" s="50"/>
      <c r="U167" s="50"/>
      <c r="V167" s="50"/>
      <c r="W167" s="50"/>
      <c r="X167" s="50"/>
      <c r="Y167" s="50"/>
      <c r="Z167" s="50"/>
      <c r="AA167" s="50"/>
      <c r="AB167" s="50"/>
      <c r="AC167" s="50"/>
      <c r="AD167" s="50"/>
      <c r="AE167" s="50"/>
      <c r="AF167" s="50"/>
    </row>
    <row r="168" spans="1:32">
      <c r="A168" s="50"/>
      <c r="B168" s="50"/>
      <c r="C168" s="50"/>
      <c r="D168" s="50"/>
      <c r="E168" s="50"/>
      <c r="F168" s="50"/>
      <c r="G168" s="50"/>
      <c r="H168" s="50"/>
      <c r="I168" s="50"/>
      <c r="J168" s="50"/>
      <c r="K168" s="50"/>
      <c r="L168" s="50"/>
      <c r="M168" s="50"/>
      <c r="N168" s="50"/>
      <c r="O168" s="50"/>
      <c r="P168" s="50"/>
      <c r="Q168" s="50"/>
      <c r="R168" s="50"/>
      <c r="S168" s="50"/>
      <c r="T168" s="50"/>
      <c r="U168" s="50"/>
      <c r="V168" s="50"/>
      <c r="W168" s="50"/>
      <c r="X168" s="50"/>
      <c r="Y168" s="50"/>
      <c r="Z168" s="50"/>
      <c r="AA168" s="50"/>
      <c r="AB168" s="50"/>
      <c r="AC168" s="50"/>
      <c r="AD168" s="50"/>
      <c r="AE168" s="50"/>
      <c r="AF168" s="50"/>
    </row>
    <row r="169" spans="1:32">
      <c r="A169" s="50"/>
      <c r="B169" s="50"/>
      <c r="C169" s="50"/>
      <c r="D169" s="50"/>
      <c r="E169" s="50"/>
      <c r="F169" s="50"/>
      <c r="G169" s="50"/>
      <c r="H169" s="50"/>
      <c r="I169" s="50"/>
      <c r="J169" s="50"/>
      <c r="K169" s="50"/>
      <c r="L169" s="50"/>
      <c r="M169" s="50"/>
      <c r="N169" s="50"/>
      <c r="O169" s="50"/>
      <c r="P169" s="50"/>
      <c r="Q169" s="50"/>
      <c r="R169" s="50"/>
      <c r="S169" s="50"/>
      <c r="T169" s="50"/>
      <c r="U169" s="50"/>
      <c r="V169" s="50"/>
      <c r="W169" s="50"/>
      <c r="X169" s="50"/>
      <c r="Y169" s="50"/>
      <c r="Z169" s="50"/>
      <c r="AA169" s="50"/>
      <c r="AB169" s="50"/>
      <c r="AC169" s="50"/>
      <c r="AD169" s="50"/>
      <c r="AE169" s="50"/>
      <c r="AF169" s="50"/>
    </row>
    <row r="170" spans="1:32">
      <c r="A170" s="50"/>
      <c r="B170" s="50"/>
      <c r="C170" s="50"/>
      <c r="D170" s="50"/>
      <c r="E170" s="50"/>
      <c r="F170" s="50"/>
      <c r="G170" s="50"/>
      <c r="H170" s="50"/>
      <c r="I170" s="50"/>
      <c r="J170" s="50"/>
      <c r="K170" s="50"/>
      <c r="L170" s="50"/>
      <c r="M170" s="50"/>
      <c r="N170" s="50"/>
      <c r="O170" s="50"/>
      <c r="P170" s="50"/>
      <c r="Q170" s="50"/>
      <c r="R170" s="50"/>
      <c r="S170" s="50"/>
      <c r="T170" s="50"/>
      <c r="U170" s="50"/>
      <c r="V170" s="50"/>
      <c r="W170" s="50"/>
      <c r="X170" s="50"/>
      <c r="Y170" s="50"/>
      <c r="Z170" s="50"/>
      <c r="AA170" s="50"/>
      <c r="AB170" s="50"/>
      <c r="AC170" s="50"/>
      <c r="AD170" s="50"/>
      <c r="AE170" s="50"/>
      <c r="AF170" s="50"/>
    </row>
    <row r="171" spans="1:32">
      <c r="A171" s="50"/>
      <c r="B171" s="50"/>
      <c r="C171" s="50"/>
      <c r="D171" s="50"/>
      <c r="E171" s="50"/>
      <c r="F171" s="50"/>
      <c r="G171" s="50"/>
      <c r="H171" s="50"/>
      <c r="I171" s="50"/>
      <c r="J171" s="50"/>
      <c r="K171" s="50"/>
      <c r="L171" s="50"/>
      <c r="M171" s="50"/>
      <c r="N171" s="50"/>
      <c r="O171" s="50"/>
      <c r="P171" s="50"/>
      <c r="Q171" s="50"/>
      <c r="R171" s="50"/>
      <c r="S171" s="50"/>
      <c r="T171" s="50"/>
      <c r="U171" s="50"/>
      <c r="V171" s="50"/>
      <c r="W171" s="50"/>
      <c r="X171" s="50"/>
      <c r="Y171" s="50"/>
      <c r="Z171" s="50"/>
      <c r="AA171" s="50"/>
      <c r="AB171" s="50"/>
      <c r="AC171" s="50"/>
      <c r="AD171" s="50"/>
      <c r="AE171" s="50"/>
      <c r="AF171" s="50"/>
    </row>
    <row r="172" spans="1:32">
      <c r="A172" s="50"/>
      <c r="B172" s="50"/>
      <c r="C172" s="50"/>
      <c r="D172" s="50"/>
      <c r="E172" s="50"/>
      <c r="F172" s="50"/>
      <c r="G172" s="50"/>
      <c r="H172" s="50"/>
      <c r="I172" s="50"/>
      <c r="J172" s="50"/>
      <c r="K172" s="50"/>
      <c r="L172" s="50"/>
      <c r="M172" s="50"/>
      <c r="N172" s="50"/>
      <c r="O172" s="50"/>
      <c r="P172" s="50"/>
      <c r="Q172" s="50"/>
      <c r="R172" s="50"/>
      <c r="S172" s="50"/>
      <c r="T172" s="50"/>
      <c r="U172" s="50"/>
      <c r="V172" s="50"/>
      <c r="W172" s="50"/>
      <c r="X172" s="50"/>
      <c r="Y172" s="50"/>
      <c r="Z172" s="50"/>
      <c r="AA172" s="50"/>
      <c r="AB172" s="50"/>
      <c r="AC172" s="50"/>
      <c r="AD172" s="50"/>
      <c r="AE172" s="50"/>
      <c r="AF172" s="50"/>
    </row>
    <row r="173" spans="1:32">
      <c r="A173" s="50"/>
      <c r="B173" s="50"/>
      <c r="C173" s="50"/>
      <c r="D173" s="50"/>
      <c r="E173" s="50"/>
      <c r="F173" s="50"/>
      <c r="G173" s="50"/>
      <c r="H173" s="50"/>
      <c r="I173" s="50"/>
      <c r="J173" s="50"/>
      <c r="K173" s="50"/>
      <c r="L173" s="50"/>
      <c r="M173" s="50"/>
      <c r="N173" s="50"/>
      <c r="O173" s="50"/>
      <c r="P173" s="50"/>
      <c r="Q173" s="50"/>
      <c r="R173" s="50"/>
      <c r="S173" s="50"/>
      <c r="T173" s="50"/>
      <c r="U173" s="50"/>
      <c r="V173" s="50"/>
      <c r="W173" s="50"/>
      <c r="X173" s="50"/>
      <c r="Y173" s="50"/>
      <c r="Z173" s="50"/>
      <c r="AA173" s="50"/>
      <c r="AB173" s="50"/>
      <c r="AC173" s="50"/>
      <c r="AD173" s="50"/>
      <c r="AE173" s="50"/>
      <c r="AF173" s="50"/>
    </row>
    <row r="174" spans="1:32">
      <c r="A174" s="50"/>
      <c r="B174" s="50"/>
      <c r="C174" s="50"/>
      <c r="D174" s="50"/>
      <c r="E174" s="50"/>
      <c r="F174" s="50"/>
      <c r="G174" s="50"/>
      <c r="H174" s="50"/>
      <c r="I174" s="50"/>
      <c r="J174" s="50"/>
      <c r="K174" s="50"/>
      <c r="L174" s="50"/>
      <c r="M174" s="50"/>
      <c r="N174" s="50"/>
      <c r="O174" s="50"/>
      <c r="P174" s="50"/>
      <c r="Q174" s="50"/>
      <c r="R174" s="50"/>
      <c r="S174" s="50"/>
      <c r="T174" s="50"/>
      <c r="U174" s="50"/>
      <c r="V174" s="50"/>
      <c r="W174" s="50"/>
      <c r="X174" s="50"/>
      <c r="Y174" s="50"/>
      <c r="Z174" s="50"/>
      <c r="AA174" s="50"/>
      <c r="AB174" s="50"/>
      <c r="AC174" s="50"/>
      <c r="AD174" s="50"/>
      <c r="AE174" s="50"/>
      <c r="AF174" s="50"/>
    </row>
    <row r="175" spans="1:32">
      <c r="A175" s="50"/>
      <c r="B175" s="50"/>
      <c r="C175" s="50"/>
      <c r="D175" s="50"/>
      <c r="E175" s="50"/>
      <c r="F175" s="50"/>
      <c r="G175" s="50"/>
      <c r="H175" s="50"/>
      <c r="I175" s="50"/>
      <c r="J175" s="50"/>
      <c r="K175" s="50"/>
      <c r="L175" s="50"/>
      <c r="M175" s="50"/>
      <c r="N175" s="50"/>
      <c r="O175" s="50"/>
      <c r="P175" s="50"/>
      <c r="Q175" s="50"/>
      <c r="R175" s="50"/>
      <c r="S175" s="50"/>
      <c r="T175" s="50"/>
      <c r="U175" s="50"/>
      <c r="V175" s="50"/>
      <c r="W175" s="50"/>
      <c r="X175" s="50"/>
      <c r="Y175" s="50"/>
      <c r="Z175" s="50"/>
      <c r="AA175" s="50"/>
      <c r="AB175" s="50"/>
      <c r="AC175" s="50"/>
      <c r="AD175" s="50"/>
      <c r="AE175" s="50"/>
      <c r="AF175" s="50"/>
    </row>
    <row r="176" spans="1:32">
      <c r="A176" s="50"/>
      <c r="B176" s="50"/>
      <c r="C176" s="50"/>
      <c r="D176" s="50"/>
      <c r="E176" s="50"/>
      <c r="F176" s="50"/>
      <c r="G176" s="50"/>
      <c r="H176" s="50"/>
      <c r="I176" s="50"/>
      <c r="J176" s="50"/>
      <c r="K176" s="50"/>
      <c r="L176" s="50"/>
      <c r="M176" s="50"/>
      <c r="N176" s="50"/>
      <c r="O176" s="50"/>
      <c r="P176" s="50"/>
      <c r="Q176" s="50"/>
      <c r="R176" s="50"/>
      <c r="S176" s="50"/>
      <c r="T176" s="50"/>
      <c r="U176" s="50"/>
      <c r="V176" s="50"/>
      <c r="W176" s="50"/>
      <c r="X176" s="50"/>
      <c r="Y176" s="50"/>
      <c r="Z176" s="50"/>
      <c r="AA176" s="50"/>
      <c r="AB176" s="50"/>
      <c r="AC176" s="50"/>
      <c r="AD176" s="50"/>
      <c r="AE176" s="50"/>
      <c r="AF176" s="50"/>
    </row>
    <row r="177" spans="1:32">
      <c r="A177" s="50"/>
      <c r="B177" s="50"/>
      <c r="C177" s="50"/>
      <c r="D177" s="50"/>
      <c r="E177" s="50"/>
      <c r="F177" s="50"/>
      <c r="G177" s="50"/>
      <c r="H177" s="50"/>
      <c r="I177" s="50"/>
      <c r="J177" s="50"/>
      <c r="K177" s="50"/>
      <c r="L177" s="50"/>
      <c r="M177" s="50"/>
      <c r="N177" s="50"/>
      <c r="O177" s="50"/>
      <c r="P177" s="50"/>
      <c r="Q177" s="50"/>
      <c r="R177" s="50"/>
      <c r="S177" s="50"/>
      <c r="T177" s="50"/>
      <c r="U177" s="50"/>
      <c r="V177" s="50"/>
      <c r="W177" s="50"/>
      <c r="X177" s="50"/>
      <c r="Y177" s="50"/>
      <c r="Z177" s="50"/>
      <c r="AA177" s="50"/>
      <c r="AB177" s="50"/>
      <c r="AC177" s="50"/>
      <c r="AD177" s="50"/>
      <c r="AE177" s="50"/>
      <c r="AF177" s="50"/>
    </row>
    <row r="178" spans="1:32">
      <c r="A178" s="50"/>
      <c r="B178" s="50"/>
      <c r="C178" s="50"/>
      <c r="D178" s="50"/>
      <c r="E178" s="50"/>
      <c r="F178" s="50"/>
      <c r="G178" s="50"/>
      <c r="H178" s="50"/>
      <c r="I178" s="50"/>
      <c r="J178" s="50"/>
      <c r="K178" s="50"/>
      <c r="L178" s="50"/>
      <c r="M178" s="50"/>
      <c r="N178" s="50"/>
      <c r="O178" s="50"/>
      <c r="P178" s="50"/>
      <c r="Q178" s="50"/>
      <c r="R178" s="50"/>
      <c r="S178" s="50"/>
      <c r="T178" s="50"/>
      <c r="U178" s="50"/>
      <c r="V178" s="50"/>
      <c r="W178" s="50"/>
      <c r="X178" s="50"/>
      <c r="Y178" s="50"/>
      <c r="Z178" s="50"/>
      <c r="AA178" s="50"/>
      <c r="AB178" s="50"/>
      <c r="AC178" s="50"/>
      <c r="AD178" s="50"/>
      <c r="AE178" s="50"/>
      <c r="AF178" s="50"/>
    </row>
    <row r="179" spans="1:32">
      <c r="A179" s="50"/>
      <c r="B179" s="50"/>
      <c r="C179" s="50"/>
      <c r="D179" s="50"/>
      <c r="E179" s="50"/>
      <c r="F179" s="50"/>
      <c r="G179" s="50"/>
      <c r="H179" s="50"/>
      <c r="I179" s="50"/>
      <c r="J179" s="50"/>
      <c r="K179" s="50"/>
      <c r="L179" s="50"/>
      <c r="M179" s="50"/>
      <c r="N179" s="50"/>
      <c r="O179" s="50"/>
      <c r="P179" s="50"/>
      <c r="Q179" s="50"/>
      <c r="R179" s="50"/>
      <c r="S179" s="50"/>
      <c r="T179" s="50"/>
      <c r="U179" s="50"/>
      <c r="V179" s="50"/>
      <c r="W179" s="50"/>
      <c r="X179" s="50"/>
      <c r="Y179" s="50"/>
      <c r="Z179" s="50"/>
      <c r="AA179" s="50"/>
      <c r="AB179" s="50"/>
      <c r="AC179" s="50"/>
      <c r="AD179" s="50"/>
      <c r="AE179" s="50"/>
      <c r="AF179" s="50"/>
    </row>
    <row r="180" spans="1:32">
      <c r="A180" s="50"/>
      <c r="B180" s="50"/>
      <c r="C180" s="50"/>
      <c r="D180" s="50"/>
      <c r="E180" s="50"/>
      <c r="F180" s="50"/>
      <c r="G180" s="50"/>
      <c r="H180" s="50"/>
      <c r="I180" s="50"/>
      <c r="J180" s="50"/>
      <c r="K180" s="50"/>
      <c r="L180" s="50"/>
      <c r="M180" s="50"/>
      <c r="N180" s="50"/>
      <c r="O180" s="50"/>
      <c r="P180" s="50"/>
      <c r="Q180" s="50"/>
      <c r="R180" s="50"/>
      <c r="S180" s="50"/>
      <c r="T180" s="50"/>
      <c r="U180" s="50"/>
      <c r="V180" s="50"/>
      <c r="W180" s="50"/>
      <c r="X180" s="50"/>
      <c r="Y180" s="50"/>
      <c r="Z180" s="50"/>
      <c r="AA180" s="50"/>
      <c r="AB180" s="50"/>
      <c r="AC180" s="50"/>
      <c r="AD180" s="50"/>
      <c r="AE180" s="50"/>
      <c r="AF180" s="50"/>
    </row>
    <row r="181" spans="1:32">
      <c r="A181" s="50"/>
      <c r="B181" s="50"/>
      <c r="C181" s="50"/>
      <c r="D181" s="50"/>
      <c r="E181" s="50"/>
      <c r="F181" s="50"/>
      <c r="G181" s="50"/>
      <c r="H181" s="50"/>
      <c r="I181" s="50"/>
      <c r="J181" s="50"/>
      <c r="K181" s="50"/>
      <c r="L181" s="50"/>
      <c r="M181" s="50"/>
      <c r="N181" s="50"/>
      <c r="O181" s="50"/>
      <c r="P181" s="50"/>
      <c r="Q181" s="50"/>
      <c r="R181" s="50"/>
      <c r="S181" s="50"/>
      <c r="T181" s="50"/>
      <c r="U181" s="50"/>
      <c r="V181" s="50"/>
      <c r="W181" s="50"/>
      <c r="X181" s="50"/>
      <c r="Y181" s="50"/>
      <c r="Z181" s="50"/>
      <c r="AA181" s="50"/>
      <c r="AB181" s="50"/>
      <c r="AC181" s="50"/>
      <c r="AD181" s="50"/>
      <c r="AE181" s="50"/>
      <c r="AF181" s="50"/>
    </row>
    <row r="182" spans="1:32">
      <c r="A182" s="50"/>
      <c r="B182" s="50"/>
      <c r="C182" s="50"/>
      <c r="D182" s="50"/>
      <c r="E182" s="50"/>
      <c r="F182" s="50"/>
      <c r="G182" s="50"/>
      <c r="H182" s="50"/>
      <c r="I182" s="50"/>
      <c r="J182" s="50"/>
      <c r="K182" s="50"/>
      <c r="L182" s="50"/>
      <c r="M182" s="50"/>
      <c r="N182" s="50"/>
      <c r="O182" s="50"/>
      <c r="P182" s="50"/>
      <c r="Q182" s="50"/>
      <c r="R182" s="50"/>
      <c r="S182" s="50"/>
      <c r="T182" s="50"/>
      <c r="U182" s="50"/>
      <c r="V182" s="50"/>
      <c r="W182" s="50"/>
      <c r="X182" s="50"/>
      <c r="Y182" s="50"/>
      <c r="Z182" s="50"/>
      <c r="AA182" s="50"/>
      <c r="AB182" s="50"/>
      <c r="AC182" s="50"/>
      <c r="AD182" s="50"/>
      <c r="AE182" s="50"/>
      <c r="AF182" s="50"/>
    </row>
    <row r="183" spans="1:32">
      <c r="A183" s="50"/>
      <c r="B183" s="50"/>
      <c r="C183" s="50"/>
      <c r="D183" s="50"/>
      <c r="E183" s="50"/>
      <c r="F183" s="50"/>
      <c r="G183" s="50"/>
      <c r="H183" s="50"/>
      <c r="I183" s="50"/>
      <c r="J183" s="50"/>
      <c r="K183" s="50"/>
      <c r="L183" s="50"/>
      <c r="M183" s="50"/>
      <c r="N183" s="50"/>
      <c r="O183" s="50"/>
      <c r="P183" s="50"/>
      <c r="Q183" s="50"/>
      <c r="R183" s="50"/>
      <c r="S183" s="50"/>
      <c r="T183" s="50"/>
      <c r="U183" s="50"/>
      <c r="V183" s="50"/>
      <c r="W183" s="50"/>
      <c r="X183" s="50"/>
      <c r="Y183" s="50"/>
      <c r="Z183" s="50"/>
      <c r="AA183" s="50"/>
      <c r="AB183" s="50"/>
      <c r="AC183" s="50"/>
      <c r="AD183" s="50"/>
      <c r="AE183" s="50"/>
      <c r="AF183" s="50"/>
    </row>
    <row r="184" spans="1:32">
      <c r="A184" s="50"/>
      <c r="B184" s="50"/>
      <c r="C184" s="50"/>
      <c r="D184" s="50"/>
      <c r="E184" s="50"/>
      <c r="F184" s="50"/>
      <c r="G184" s="50"/>
      <c r="H184" s="50"/>
      <c r="I184" s="50"/>
      <c r="J184" s="50"/>
      <c r="K184" s="50"/>
      <c r="L184" s="50"/>
      <c r="M184" s="50"/>
      <c r="N184" s="50"/>
      <c r="O184" s="50"/>
      <c r="P184" s="50"/>
      <c r="Q184" s="50"/>
      <c r="R184" s="50"/>
      <c r="S184" s="50"/>
      <c r="T184" s="50"/>
      <c r="U184" s="50"/>
      <c r="V184" s="50"/>
      <c r="W184" s="50"/>
      <c r="X184" s="50"/>
      <c r="Y184" s="50"/>
      <c r="Z184" s="50"/>
      <c r="AA184" s="50"/>
      <c r="AB184" s="50"/>
      <c r="AC184" s="50"/>
      <c r="AD184" s="50"/>
      <c r="AE184" s="50"/>
      <c r="AF184" s="50"/>
    </row>
    <row r="185" spans="1:32">
      <c r="A185" s="50"/>
      <c r="B185" s="50"/>
      <c r="C185" s="50"/>
      <c r="D185" s="50"/>
      <c r="E185" s="50"/>
      <c r="F185" s="50"/>
      <c r="G185" s="50"/>
      <c r="H185" s="50"/>
      <c r="I185" s="50"/>
      <c r="J185" s="50"/>
      <c r="K185" s="50"/>
      <c r="L185" s="50"/>
      <c r="M185" s="50"/>
      <c r="N185" s="50"/>
      <c r="O185" s="50"/>
      <c r="P185" s="50"/>
      <c r="Q185" s="50"/>
      <c r="R185" s="50"/>
      <c r="S185" s="50"/>
      <c r="T185" s="50"/>
      <c r="U185" s="50"/>
      <c r="V185" s="50"/>
      <c r="W185" s="50"/>
      <c r="X185" s="50"/>
      <c r="Y185" s="50"/>
      <c r="Z185" s="50"/>
      <c r="AA185" s="50"/>
      <c r="AB185" s="50"/>
      <c r="AC185" s="50"/>
      <c r="AD185" s="50"/>
      <c r="AE185" s="50"/>
      <c r="AF185" s="50"/>
    </row>
    <row r="186" spans="1:32">
      <c r="A186" s="50"/>
      <c r="B186" s="50"/>
      <c r="C186" s="50"/>
      <c r="D186" s="50"/>
      <c r="E186" s="50"/>
      <c r="F186" s="50"/>
      <c r="G186" s="50"/>
      <c r="H186" s="50"/>
      <c r="I186" s="50"/>
      <c r="J186" s="50"/>
      <c r="K186" s="50"/>
      <c r="L186" s="50"/>
      <c r="M186" s="50"/>
      <c r="N186" s="50"/>
      <c r="O186" s="50"/>
      <c r="P186" s="50"/>
      <c r="Q186" s="50"/>
      <c r="R186" s="50"/>
      <c r="S186" s="50"/>
      <c r="T186" s="50"/>
      <c r="U186" s="50"/>
      <c r="V186" s="50"/>
      <c r="W186" s="50"/>
      <c r="X186" s="50"/>
      <c r="Y186" s="50"/>
      <c r="Z186" s="50"/>
      <c r="AA186" s="50"/>
      <c r="AB186" s="50"/>
      <c r="AC186" s="50"/>
      <c r="AD186" s="50"/>
      <c r="AE186" s="50"/>
      <c r="AF186" s="50"/>
    </row>
    <row r="187" spans="1:32">
      <c r="A187" s="50"/>
      <c r="B187" s="50"/>
      <c r="C187" s="50"/>
      <c r="D187" s="50"/>
      <c r="E187" s="50"/>
      <c r="F187" s="50"/>
      <c r="G187" s="50"/>
      <c r="H187" s="50"/>
      <c r="I187" s="50"/>
      <c r="J187" s="50"/>
      <c r="K187" s="50"/>
      <c r="L187" s="50"/>
      <c r="M187" s="50"/>
      <c r="N187" s="50"/>
      <c r="O187" s="50"/>
      <c r="P187" s="50"/>
      <c r="Q187" s="50"/>
      <c r="R187" s="50"/>
      <c r="S187" s="50"/>
      <c r="T187" s="50"/>
      <c r="U187" s="50"/>
      <c r="V187" s="50"/>
      <c r="W187" s="50"/>
      <c r="X187" s="50"/>
      <c r="Y187" s="50"/>
      <c r="Z187" s="50"/>
      <c r="AA187" s="50"/>
      <c r="AB187" s="50"/>
      <c r="AC187" s="50"/>
      <c r="AD187" s="50"/>
      <c r="AE187" s="50"/>
      <c r="AF187" s="50"/>
    </row>
    <row r="188" spans="1:32">
      <c r="A188" s="50"/>
      <c r="B188" s="50"/>
      <c r="C188" s="50"/>
      <c r="D188" s="50"/>
      <c r="E188" s="50"/>
      <c r="F188" s="50"/>
      <c r="G188" s="50"/>
      <c r="H188" s="50"/>
      <c r="I188" s="50"/>
      <c r="J188" s="50"/>
      <c r="K188" s="50"/>
      <c r="L188" s="50"/>
      <c r="M188" s="50"/>
      <c r="N188" s="50"/>
      <c r="O188" s="50"/>
      <c r="P188" s="50"/>
      <c r="Q188" s="50"/>
      <c r="R188" s="50"/>
      <c r="S188" s="50"/>
      <c r="T188" s="50"/>
      <c r="U188" s="50"/>
      <c r="V188" s="50"/>
      <c r="W188" s="50"/>
      <c r="X188" s="50"/>
      <c r="Y188" s="50"/>
      <c r="Z188" s="50"/>
      <c r="AA188" s="50"/>
      <c r="AB188" s="50"/>
      <c r="AC188" s="50"/>
      <c r="AD188" s="50"/>
      <c r="AE188" s="50"/>
      <c r="AF188" s="50"/>
    </row>
    <row r="189" spans="1:32">
      <c r="A189" s="50"/>
      <c r="B189" s="50"/>
      <c r="C189" s="50"/>
      <c r="D189" s="50"/>
      <c r="E189" s="50"/>
      <c r="F189" s="50"/>
      <c r="G189" s="50"/>
      <c r="H189" s="50"/>
      <c r="I189" s="50"/>
      <c r="J189" s="50"/>
      <c r="K189" s="50"/>
      <c r="L189" s="50"/>
      <c r="M189" s="50"/>
      <c r="N189" s="50"/>
      <c r="O189" s="50"/>
      <c r="P189" s="50"/>
      <c r="Q189" s="50"/>
      <c r="R189" s="50"/>
      <c r="S189" s="50"/>
      <c r="T189" s="50"/>
      <c r="U189" s="50"/>
      <c r="V189" s="50"/>
      <c r="W189" s="50"/>
      <c r="X189" s="50"/>
      <c r="Y189" s="50"/>
      <c r="Z189" s="50"/>
      <c r="AA189" s="50"/>
      <c r="AB189" s="50"/>
      <c r="AC189" s="50"/>
      <c r="AD189" s="50"/>
      <c r="AE189" s="50"/>
      <c r="AF189" s="50"/>
    </row>
    <row r="190" spans="1:32">
      <c r="A190" s="50"/>
      <c r="B190" s="50"/>
      <c r="C190" s="50"/>
      <c r="D190" s="50"/>
      <c r="E190" s="50"/>
      <c r="F190" s="50"/>
      <c r="G190" s="50"/>
      <c r="H190" s="50"/>
      <c r="I190" s="50"/>
      <c r="J190" s="50"/>
      <c r="K190" s="50"/>
      <c r="L190" s="50"/>
      <c r="M190" s="50"/>
      <c r="N190" s="50"/>
      <c r="O190" s="50"/>
      <c r="P190" s="50"/>
      <c r="Q190" s="50"/>
      <c r="R190" s="50"/>
      <c r="S190" s="50"/>
      <c r="T190" s="50"/>
      <c r="U190" s="50"/>
      <c r="V190" s="50"/>
      <c r="W190" s="50"/>
      <c r="X190" s="50"/>
      <c r="Y190" s="50"/>
      <c r="Z190" s="50"/>
      <c r="AA190" s="50"/>
      <c r="AB190" s="50"/>
      <c r="AC190" s="50"/>
      <c r="AD190" s="50"/>
      <c r="AE190" s="50"/>
      <c r="AF190" s="50"/>
    </row>
    <row r="191" spans="1:32">
      <c r="A191" s="50"/>
      <c r="B191" s="50"/>
      <c r="C191" s="50"/>
      <c r="D191" s="50"/>
      <c r="E191" s="50"/>
      <c r="F191" s="50"/>
      <c r="G191" s="50"/>
      <c r="H191" s="50"/>
      <c r="I191" s="50"/>
      <c r="J191" s="50"/>
      <c r="K191" s="50"/>
      <c r="L191" s="50"/>
      <c r="M191" s="50"/>
      <c r="N191" s="50"/>
      <c r="O191" s="50"/>
      <c r="P191" s="50"/>
      <c r="Q191" s="50"/>
      <c r="R191" s="50"/>
      <c r="S191" s="50"/>
      <c r="T191" s="50"/>
      <c r="U191" s="50"/>
      <c r="V191" s="50"/>
      <c r="W191" s="50"/>
      <c r="X191" s="50"/>
      <c r="Y191" s="50"/>
      <c r="Z191" s="50"/>
      <c r="AA191" s="50"/>
      <c r="AB191" s="50"/>
      <c r="AC191" s="50"/>
      <c r="AD191" s="50"/>
      <c r="AE191" s="50"/>
      <c r="AF191" s="50"/>
    </row>
    <row r="192" spans="1:32">
      <c r="A192" s="50"/>
      <c r="B192" s="50"/>
      <c r="C192" s="50"/>
      <c r="D192" s="50"/>
      <c r="E192" s="50"/>
      <c r="F192" s="50"/>
      <c r="G192" s="50"/>
      <c r="H192" s="50"/>
      <c r="I192" s="50"/>
      <c r="J192" s="50"/>
      <c r="K192" s="50"/>
      <c r="L192" s="50"/>
      <c r="M192" s="50"/>
      <c r="N192" s="50"/>
      <c r="O192" s="50"/>
      <c r="P192" s="50"/>
      <c r="Q192" s="50"/>
      <c r="R192" s="50"/>
      <c r="S192" s="50"/>
      <c r="T192" s="50"/>
      <c r="U192" s="50"/>
      <c r="V192" s="50"/>
      <c r="W192" s="50"/>
      <c r="X192" s="50"/>
      <c r="Y192" s="50"/>
      <c r="Z192" s="50"/>
      <c r="AA192" s="50"/>
      <c r="AB192" s="50"/>
      <c r="AC192" s="50"/>
      <c r="AD192" s="50"/>
      <c r="AE192" s="50"/>
      <c r="AF192" s="50"/>
    </row>
    <row r="193" spans="1:32">
      <c r="A193" s="50"/>
      <c r="B193" s="50"/>
      <c r="C193" s="50"/>
      <c r="D193" s="50"/>
      <c r="E193" s="50"/>
      <c r="F193" s="50"/>
      <c r="G193" s="50"/>
      <c r="H193" s="50"/>
      <c r="I193" s="50"/>
      <c r="J193" s="50"/>
      <c r="K193" s="50"/>
      <c r="L193" s="50"/>
      <c r="M193" s="50"/>
      <c r="N193" s="50"/>
      <c r="O193" s="50"/>
      <c r="P193" s="50"/>
      <c r="Q193" s="50"/>
      <c r="R193" s="50"/>
      <c r="S193" s="50"/>
      <c r="T193" s="50"/>
      <c r="U193" s="50"/>
      <c r="V193" s="50"/>
      <c r="W193" s="50"/>
      <c r="X193" s="50"/>
      <c r="Y193" s="50"/>
      <c r="Z193" s="50"/>
      <c r="AA193" s="50"/>
      <c r="AB193" s="50"/>
      <c r="AC193" s="50"/>
      <c r="AD193" s="50"/>
      <c r="AE193" s="50"/>
      <c r="AF193" s="50"/>
    </row>
    <row r="194" spans="1:32">
      <c r="A194" s="50"/>
      <c r="B194" s="50"/>
      <c r="C194" s="50"/>
      <c r="D194" s="50"/>
      <c r="E194" s="50"/>
      <c r="F194" s="50"/>
      <c r="G194" s="50"/>
      <c r="H194" s="50"/>
      <c r="I194" s="50"/>
      <c r="J194" s="50"/>
      <c r="K194" s="50"/>
      <c r="L194" s="50"/>
      <c r="M194" s="50"/>
      <c r="N194" s="50"/>
      <c r="O194" s="50"/>
      <c r="P194" s="50"/>
      <c r="Q194" s="50"/>
      <c r="R194" s="50"/>
      <c r="S194" s="50"/>
      <c r="T194" s="50"/>
      <c r="U194" s="50"/>
      <c r="V194" s="50"/>
      <c r="W194" s="50"/>
      <c r="X194" s="50"/>
      <c r="Y194" s="50"/>
      <c r="Z194" s="50"/>
      <c r="AA194" s="50"/>
      <c r="AB194" s="50"/>
      <c r="AC194" s="50"/>
      <c r="AD194" s="50"/>
      <c r="AE194" s="50"/>
      <c r="AF194" s="50"/>
    </row>
    <row r="195" spans="1:32">
      <c r="A195" s="50"/>
      <c r="B195" s="50"/>
      <c r="C195" s="50"/>
      <c r="D195" s="50"/>
      <c r="E195" s="50"/>
      <c r="F195" s="50"/>
      <c r="G195" s="50"/>
      <c r="H195" s="50"/>
      <c r="I195" s="50"/>
      <c r="J195" s="50"/>
      <c r="K195" s="50"/>
      <c r="L195" s="50"/>
      <c r="M195" s="50"/>
      <c r="N195" s="50"/>
      <c r="O195" s="50"/>
      <c r="P195" s="50"/>
      <c r="Q195" s="50"/>
      <c r="R195" s="50"/>
      <c r="S195" s="50"/>
      <c r="T195" s="50"/>
      <c r="U195" s="50"/>
      <c r="V195" s="50"/>
      <c r="W195" s="50"/>
      <c r="X195" s="50"/>
      <c r="Y195" s="50"/>
      <c r="Z195" s="50"/>
      <c r="AA195" s="50"/>
      <c r="AB195" s="50"/>
      <c r="AC195" s="50"/>
      <c r="AD195" s="50"/>
      <c r="AE195" s="50"/>
      <c r="AF195" s="50"/>
    </row>
    <row r="196" spans="1:32">
      <c r="A196" s="50"/>
      <c r="B196" s="50"/>
      <c r="C196" s="50"/>
      <c r="D196" s="50"/>
      <c r="E196" s="50"/>
      <c r="F196" s="50"/>
      <c r="G196" s="50"/>
      <c r="H196" s="50"/>
      <c r="I196" s="50"/>
      <c r="J196" s="50"/>
      <c r="K196" s="50"/>
      <c r="L196" s="50"/>
      <c r="M196" s="50"/>
      <c r="N196" s="50"/>
      <c r="O196" s="50"/>
      <c r="P196" s="50"/>
      <c r="Q196" s="50"/>
      <c r="R196" s="50"/>
      <c r="S196" s="50"/>
      <c r="T196" s="50"/>
      <c r="U196" s="50"/>
      <c r="V196" s="50"/>
      <c r="W196" s="50"/>
      <c r="X196" s="50"/>
      <c r="Y196" s="50"/>
      <c r="Z196" s="50"/>
      <c r="AA196" s="50"/>
      <c r="AB196" s="50"/>
      <c r="AC196" s="50"/>
      <c r="AD196" s="50"/>
      <c r="AE196" s="50"/>
      <c r="AF196" s="50"/>
    </row>
    <row r="197" spans="1:32">
      <c r="A197" s="50"/>
      <c r="B197" s="50"/>
      <c r="C197" s="50"/>
      <c r="D197" s="50"/>
      <c r="E197" s="50"/>
      <c r="F197" s="50"/>
      <c r="G197" s="50"/>
      <c r="H197" s="50"/>
      <c r="I197" s="50"/>
      <c r="J197" s="50"/>
      <c r="K197" s="50"/>
      <c r="L197" s="50"/>
      <c r="M197" s="50"/>
      <c r="N197" s="50"/>
      <c r="O197" s="50"/>
      <c r="P197" s="50"/>
      <c r="Q197" s="50"/>
      <c r="R197" s="50"/>
      <c r="S197" s="50"/>
      <c r="T197" s="50"/>
      <c r="U197" s="50"/>
      <c r="V197" s="50"/>
      <c r="W197" s="50"/>
      <c r="X197" s="50"/>
      <c r="Y197" s="50"/>
      <c r="Z197" s="50"/>
      <c r="AA197" s="50"/>
      <c r="AB197" s="50"/>
      <c r="AC197" s="50"/>
      <c r="AD197" s="50"/>
      <c r="AE197" s="50"/>
      <c r="AF197" s="50"/>
    </row>
    <row r="198" spans="1:32">
      <c r="A198" s="50"/>
      <c r="B198" s="50"/>
      <c r="C198" s="50"/>
      <c r="D198" s="50"/>
      <c r="E198" s="50"/>
      <c r="F198" s="50"/>
      <c r="G198" s="50"/>
      <c r="H198" s="50"/>
      <c r="I198" s="50"/>
      <c r="J198" s="50"/>
      <c r="K198" s="50"/>
      <c r="L198" s="50"/>
      <c r="M198" s="50"/>
      <c r="N198" s="50"/>
      <c r="O198" s="50"/>
      <c r="P198" s="50"/>
      <c r="Q198" s="50"/>
      <c r="R198" s="50"/>
      <c r="S198" s="50"/>
      <c r="T198" s="50"/>
      <c r="U198" s="50"/>
      <c r="V198" s="50"/>
      <c r="W198" s="50"/>
      <c r="X198" s="50"/>
      <c r="Y198" s="50"/>
      <c r="Z198" s="50"/>
      <c r="AA198" s="50"/>
      <c r="AB198" s="50"/>
      <c r="AC198" s="50"/>
      <c r="AD198" s="50"/>
      <c r="AE198" s="50"/>
      <c r="AF198" s="50"/>
    </row>
    <row r="199" spans="1:32">
      <c r="A199" s="50"/>
      <c r="B199" s="50"/>
      <c r="C199" s="50"/>
      <c r="D199" s="50"/>
      <c r="E199" s="50"/>
      <c r="F199" s="50"/>
      <c r="G199" s="50"/>
      <c r="H199" s="50"/>
      <c r="I199" s="50"/>
      <c r="J199" s="50"/>
      <c r="K199" s="50"/>
      <c r="L199" s="50"/>
      <c r="M199" s="50"/>
      <c r="N199" s="50"/>
      <c r="O199" s="50"/>
      <c r="P199" s="50"/>
      <c r="Q199" s="50"/>
      <c r="R199" s="50"/>
      <c r="S199" s="50"/>
      <c r="T199" s="50"/>
      <c r="U199" s="50"/>
      <c r="V199" s="50"/>
      <c r="W199" s="50"/>
      <c r="X199" s="50"/>
      <c r="Y199" s="50"/>
      <c r="Z199" s="50"/>
      <c r="AA199" s="50"/>
      <c r="AB199" s="50"/>
      <c r="AC199" s="50"/>
      <c r="AD199" s="50"/>
      <c r="AE199" s="50"/>
      <c r="AF199" s="50"/>
    </row>
    <row r="200" spans="1:32">
      <c r="A200" s="50"/>
      <c r="B200" s="50"/>
      <c r="C200" s="50"/>
      <c r="D200" s="50"/>
      <c r="E200" s="50"/>
      <c r="F200" s="50"/>
      <c r="G200" s="50"/>
      <c r="H200" s="50"/>
      <c r="I200" s="50"/>
      <c r="J200" s="50"/>
      <c r="K200" s="50"/>
      <c r="L200" s="50"/>
      <c r="M200" s="50"/>
      <c r="N200" s="50"/>
      <c r="O200" s="50"/>
      <c r="P200" s="50"/>
      <c r="Q200" s="50"/>
      <c r="R200" s="50"/>
      <c r="S200" s="50"/>
      <c r="T200" s="50"/>
      <c r="U200" s="50"/>
      <c r="V200" s="50"/>
      <c r="W200" s="50"/>
      <c r="X200" s="50"/>
      <c r="Y200" s="50"/>
      <c r="Z200" s="50"/>
      <c r="AA200" s="50"/>
      <c r="AB200" s="50"/>
      <c r="AC200" s="50"/>
      <c r="AD200" s="50"/>
      <c r="AE200" s="50"/>
      <c r="AF200" s="50"/>
    </row>
    <row r="201" spans="1:32">
      <c r="A201" s="50"/>
      <c r="B201" s="50"/>
      <c r="C201" s="50"/>
      <c r="D201" s="50"/>
      <c r="E201" s="50"/>
      <c r="F201" s="50"/>
      <c r="G201" s="50"/>
      <c r="H201" s="50"/>
      <c r="I201" s="50"/>
      <c r="J201" s="50"/>
      <c r="K201" s="50"/>
      <c r="L201" s="50"/>
      <c r="M201" s="50"/>
      <c r="N201" s="50"/>
      <c r="O201" s="50"/>
      <c r="P201" s="50"/>
      <c r="Q201" s="50"/>
      <c r="R201" s="50"/>
      <c r="S201" s="50"/>
      <c r="T201" s="50"/>
      <c r="U201" s="50"/>
      <c r="V201" s="50"/>
      <c r="W201" s="50"/>
      <c r="X201" s="50"/>
      <c r="Y201" s="50"/>
      <c r="Z201" s="50"/>
      <c r="AA201" s="50"/>
      <c r="AB201" s="50"/>
      <c r="AC201" s="50"/>
      <c r="AD201" s="50"/>
      <c r="AE201" s="50"/>
      <c r="AF201" s="50"/>
    </row>
    <row r="202" spans="1:32">
      <c r="A202" s="50"/>
      <c r="B202" s="50"/>
      <c r="C202" s="50"/>
      <c r="D202" s="50"/>
      <c r="E202" s="50"/>
      <c r="F202" s="50"/>
      <c r="G202" s="50"/>
      <c r="H202" s="50"/>
      <c r="I202" s="50"/>
      <c r="J202" s="50"/>
      <c r="K202" s="50"/>
      <c r="L202" s="50"/>
      <c r="M202" s="50"/>
      <c r="N202" s="50"/>
      <c r="O202" s="50"/>
      <c r="P202" s="50"/>
      <c r="Q202" s="50"/>
      <c r="R202" s="50"/>
      <c r="S202" s="50"/>
      <c r="T202" s="50"/>
      <c r="U202" s="50"/>
      <c r="V202" s="50"/>
      <c r="W202" s="50"/>
      <c r="X202" s="50"/>
      <c r="Y202" s="50"/>
      <c r="Z202" s="50"/>
      <c r="AA202" s="50"/>
      <c r="AB202" s="50"/>
      <c r="AC202" s="50"/>
      <c r="AD202" s="50"/>
      <c r="AE202" s="50"/>
      <c r="AF202" s="50"/>
    </row>
    <row r="203" spans="1:32">
      <c r="A203" s="50"/>
      <c r="B203" s="50"/>
      <c r="C203" s="50"/>
      <c r="D203" s="50"/>
      <c r="E203" s="50"/>
      <c r="F203" s="50"/>
      <c r="G203" s="50"/>
      <c r="H203" s="50"/>
      <c r="I203" s="50"/>
      <c r="J203" s="50"/>
      <c r="K203" s="50"/>
      <c r="L203" s="50"/>
      <c r="M203" s="50"/>
      <c r="N203" s="50"/>
      <c r="O203" s="50"/>
      <c r="P203" s="50"/>
      <c r="Q203" s="50"/>
      <c r="R203" s="50"/>
      <c r="S203" s="50"/>
      <c r="T203" s="50"/>
      <c r="U203" s="50"/>
      <c r="V203" s="50"/>
      <c r="W203" s="50"/>
      <c r="X203" s="50"/>
      <c r="Y203" s="50"/>
      <c r="Z203" s="50"/>
      <c r="AA203" s="50"/>
      <c r="AB203" s="50"/>
      <c r="AC203" s="50"/>
      <c r="AD203" s="50"/>
      <c r="AE203" s="50"/>
      <c r="AF203" s="50"/>
    </row>
    <row r="204" spans="1:32">
      <c r="A204" s="50"/>
      <c r="B204" s="50"/>
      <c r="C204" s="50"/>
      <c r="D204" s="50"/>
      <c r="E204" s="50"/>
      <c r="F204" s="50"/>
      <c r="G204" s="50"/>
      <c r="H204" s="50"/>
      <c r="I204" s="50"/>
      <c r="J204" s="50"/>
      <c r="K204" s="50"/>
      <c r="L204" s="50"/>
      <c r="M204" s="50"/>
      <c r="N204" s="50"/>
      <c r="O204" s="50"/>
      <c r="P204" s="50"/>
      <c r="Q204" s="50"/>
      <c r="R204" s="50"/>
      <c r="S204" s="50"/>
      <c r="T204" s="50"/>
      <c r="U204" s="50"/>
      <c r="V204" s="50"/>
      <c r="W204" s="50"/>
      <c r="X204" s="50"/>
      <c r="Y204" s="50"/>
      <c r="Z204" s="50"/>
      <c r="AA204" s="50"/>
      <c r="AB204" s="50"/>
      <c r="AC204" s="50"/>
      <c r="AD204" s="50"/>
      <c r="AE204" s="50"/>
      <c r="AF204" s="50"/>
    </row>
    <row r="205" spans="1:32">
      <c r="A205" s="50"/>
      <c r="B205" s="50"/>
      <c r="C205" s="50"/>
      <c r="D205" s="50"/>
      <c r="E205" s="50"/>
      <c r="F205" s="50"/>
      <c r="G205" s="50"/>
      <c r="H205" s="50"/>
      <c r="I205" s="50"/>
      <c r="J205" s="50"/>
      <c r="K205" s="50"/>
      <c r="L205" s="50"/>
      <c r="M205" s="50"/>
      <c r="N205" s="50"/>
      <c r="O205" s="50"/>
      <c r="P205" s="50"/>
      <c r="Q205" s="50"/>
      <c r="R205" s="50"/>
      <c r="S205" s="50"/>
      <c r="T205" s="50"/>
      <c r="U205" s="50"/>
      <c r="V205" s="50"/>
      <c r="W205" s="50"/>
      <c r="X205" s="50"/>
      <c r="Y205" s="50"/>
      <c r="Z205" s="50"/>
      <c r="AA205" s="50"/>
      <c r="AB205" s="50"/>
      <c r="AC205" s="50"/>
      <c r="AD205" s="50"/>
      <c r="AE205" s="50"/>
      <c r="AF205" s="50"/>
    </row>
    <row r="206" spans="1:32">
      <c r="A206" s="50"/>
      <c r="B206" s="50"/>
      <c r="C206" s="50"/>
      <c r="D206" s="50"/>
      <c r="E206" s="50"/>
      <c r="F206" s="50"/>
      <c r="G206" s="50"/>
      <c r="H206" s="50"/>
      <c r="I206" s="50"/>
      <c r="J206" s="50"/>
      <c r="K206" s="50"/>
      <c r="L206" s="50"/>
      <c r="M206" s="50"/>
      <c r="N206" s="50"/>
      <c r="O206" s="50"/>
      <c r="P206" s="50"/>
      <c r="Q206" s="50"/>
      <c r="R206" s="50"/>
      <c r="S206" s="50"/>
      <c r="T206" s="50"/>
      <c r="U206" s="50"/>
      <c r="V206" s="50"/>
      <c r="W206" s="50"/>
      <c r="X206" s="50"/>
      <c r="Y206" s="50"/>
      <c r="Z206" s="50"/>
      <c r="AA206" s="50"/>
      <c r="AB206" s="50"/>
      <c r="AC206" s="50"/>
      <c r="AD206" s="50"/>
      <c r="AE206" s="50"/>
      <c r="AF206" s="50"/>
    </row>
    <row r="207" spans="1:32">
      <c r="A207" s="50"/>
      <c r="B207" s="50"/>
      <c r="C207" s="50"/>
      <c r="D207" s="50"/>
      <c r="E207" s="50"/>
      <c r="F207" s="50"/>
      <c r="G207" s="50"/>
      <c r="H207" s="50"/>
      <c r="I207" s="50"/>
      <c r="J207" s="50"/>
      <c r="K207" s="50"/>
      <c r="L207" s="50"/>
      <c r="M207" s="50"/>
      <c r="N207" s="50"/>
      <c r="O207" s="50"/>
      <c r="P207" s="50"/>
      <c r="Q207" s="50"/>
      <c r="R207" s="50"/>
      <c r="S207" s="50"/>
      <c r="T207" s="50"/>
      <c r="U207" s="50"/>
      <c r="V207" s="50"/>
      <c r="W207" s="50"/>
      <c r="X207" s="50"/>
      <c r="Y207" s="50"/>
      <c r="Z207" s="50"/>
      <c r="AA207" s="50"/>
      <c r="AB207" s="50"/>
      <c r="AC207" s="50"/>
      <c r="AD207" s="50"/>
      <c r="AE207" s="50"/>
      <c r="AF207" s="50"/>
    </row>
    <row r="208" spans="1:32">
      <c r="A208" s="50"/>
      <c r="B208" s="50"/>
      <c r="C208" s="50"/>
      <c r="D208" s="50"/>
      <c r="E208" s="50"/>
      <c r="F208" s="50"/>
      <c r="G208" s="50"/>
      <c r="H208" s="50"/>
      <c r="I208" s="50"/>
      <c r="J208" s="50"/>
      <c r="K208" s="50"/>
      <c r="L208" s="50"/>
      <c r="M208" s="50"/>
      <c r="N208" s="50"/>
      <c r="O208" s="50"/>
      <c r="P208" s="50"/>
      <c r="Q208" s="50"/>
      <c r="R208" s="50"/>
      <c r="S208" s="50"/>
      <c r="T208" s="50"/>
      <c r="U208" s="50"/>
      <c r="V208" s="50"/>
      <c r="W208" s="50"/>
      <c r="X208" s="50"/>
      <c r="Y208" s="50"/>
      <c r="Z208" s="50"/>
      <c r="AA208" s="50"/>
      <c r="AB208" s="50"/>
      <c r="AC208" s="50"/>
      <c r="AD208" s="50"/>
      <c r="AE208" s="50"/>
      <c r="AF208" s="50"/>
    </row>
    <row r="209" spans="1:32">
      <c r="A209" s="50"/>
      <c r="B209" s="50"/>
      <c r="C209" s="50"/>
      <c r="D209" s="50"/>
      <c r="E209" s="50"/>
      <c r="F209" s="50"/>
      <c r="G209" s="50"/>
      <c r="H209" s="50"/>
      <c r="I209" s="50"/>
      <c r="J209" s="50"/>
      <c r="K209" s="50"/>
      <c r="L209" s="50"/>
      <c r="M209" s="50"/>
      <c r="N209" s="50"/>
      <c r="O209" s="50"/>
      <c r="P209" s="50"/>
      <c r="Q209" s="50"/>
      <c r="R209" s="50"/>
      <c r="S209" s="50"/>
      <c r="T209" s="50"/>
      <c r="U209" s="50"/>
      <c r="V209" s="50"/>
      <c r="W209" s="50"/>
      <c r="X209" s="50"/>
      <c r="Y209" s="50"/>
      <c r="Z209" s="50"/>
      <c r="AA209" s="50"/>
      <c r="AB209" s="50"/>
      <c r="AC209" s="50"/>
      <c r="AD209" s="50"/>
      <c r="AE209" s="50"/>
      <c r="AF209" s="50"/>
    </row>
    <row r="210" spans="1:32">
      <c r="A210" s="50"/>
      <c r="B210" s="50"/>
      <c r="C210" s="50"/>
      <c r="D210" s="50"/>
      <c r="E210" s="50"/>
      <c r="F210" s="50"/>
      <c r="G210" s="50"/>
      <c r="H210" s="50"/>
      <c r="I210" s="50"/>
      <c r="J210" s="50"/>
      <c r="K210" s="50"/>
      <c r="L210" s="50"/>
      <c r="M210" s="50"/>
      <c r="N210" s="50"/>
      <c r="O210" s="50"/>
      <c r="P210" s="50"/>
      <c r="Q210" s="50"/>
      <c r="R210" s="50"/>
      <c r="S210" s="50"/>
      <c r="T210" s="50"/>
      <c r="U210" s="50"/>
      <c r="V210" s="50"/>
      <c r="W210" s="50"/>
      <c r="X210" s="50"/>
      <c r="Y210" s="50"/>
      <c r="Z210" s="50"/>
      <c r="AA210" s="50"/>
      <c r="AB210" s="50"/>
      <c r="AC210" s="50"/>
      <c r="AD210" s="50"/>
      <c r="AE210" s="50"/>
      <c r="AF210" s="50"/>
    </row>
    <row r="211" spans="1:32">
      <c r="A211" s="50"/>
      <c r="B211" s="50"/>
      <c r="C211" s="50"/>
      <c r="D211" s="50"/>
      <c r="E211" s="50"/>
      <c r="F211" s="50"/>
      <c r="G211" s="50"/>
      <c r="H211" s="50"/>
      <c r="I211" s="50"/>
      <c r="J211" s="50"/>
      <c r="K211" s="50"/>
      <c r="L211" s="50"/>
      <c r="M211" s="50"/>
      <c r="N211" s="50"/>
      <c r="O211" s="50"/>
      <c r="P211" s="50"/>
      <c r="Q211" s="50"/>
      <c r="R211" s="50"/>
      <c r="S211" s="50"/>
      <c r="T211" s="50"/>
      <c r="U211" s="50"/>
      <c r="V211" s="50"/>
      <c r="W211" s="50"/>
      <c r="X211" s="50"/>
      <c r="Y211" s="50"/>
      <c r="Z211" s="50"/>
      <c r="AA211" s="50"/>
      <c r="AB211" s="50"/>
      <c r="AC211" s="50"/>
      <c r="AD211" s="50"/>
      <c r="AE211" s="50"/>
      <c r="AF211" s="50"/>
    </row>
    <row r="212" spans="1:32">
      <c r="A212" s="50"/>
      <c r="B212" s="50"/>
      <c r="C212" s="50"/>
      <c r="D212" s="50"/>
      <c r="E212" s="50"/>
      <c r="F212" s="50"/>
      <c r="G212" s="50"/>
      <c r="H212" s="50"/>
      <c r="I212" s="50"/>
      <c r="J212" s="50"/>
      <c r="K212" s="50"/>
      <c r="L212" s="50"/>
      <c r="M212" s="50"/>
      <c r="N212" s="50"/>
      <c r="O212" s="50"/>
      <c r="P212" s="50"/>
      <c r="Q212" s="50"/>
      <c r="R212" s="50"/>
      <c r="S212" s="50"/>
      <c r="T212" s="50"/>
      <c r="U212" s="50"/>
      <c r="V212" s="50"/>
      <c r="W212" s="50"/>
      <c r="X212" s="50"/>
      <c r="Y212" s="50"/>
      <c r="Z212" s="50"/>
      <c r="AA212" s="50"/>
      <c r="AB212" s="50"/>
      <c r="AC212" s="50"/>
      <c r="AD212" s="50"/>
      <c r="AE212" s="50"/>
      <c r="AF212" s="50"/>
    </row>
    <row r="213" spans="1:32">
      <c r="A213" s="50"/>
      <c r="B213" s="50"/>
      <c r="C213" s="50"/>
      <c r="D213" s="50"/>
      <c r="E213" s="50"/>
      <c r="F213" s="50"/>
      <c r="G213" s="50"/>
      <c r="H213" s="50"/>
      <c r="I213" s="50"/>
      <c r="J213" s="50"/>
      <c r="K213" s="50"/>
      <c r="L213" s="50"/>
      <c r="M213" s="50"/>
      <c r="N213" s="50"/>
      <c r="O213" s="50"/>
      <c r="P213" s="50"/>
      <c r="Q213" s="50"/>
      <c r="R213" s="50"/>
      <c r="S213" s="50"/>
      <c r="T213" s="50"/>
      <c r="U213" s="50"/>
      <c r="V213" s="50"/>
      <c r="W213" s="50"/>
      <c r="X213" s="50"/>
      <c r="Y213" s="50"/>
      <c r="Z213" s="50"/>
      <c r="AA213" s="50"/>
      <c r="AB213" s="50"/>
      <c r="AC213" s="50"/>
      <c r="AD213" s="50"/>
      <c r="AE213" s="50"/>
      <c r="AF213" s="50"/>
    </row>
    <row r="214" spans="1:32">
      <c r="A214" s="50"/>
      <c r="B214" s="50"/>
      <c r="C214" s="50"/>
      <c r="D214" s="50"/>
      <c r="E214" s="50"/>
      <c r="F214" s="50"/>
      <c r="G214" s="50"/>
      <c r="H214" s="50"/>
      <c r="I214" s="50"/>
      <c r="J214" s="50"/>
      <c r="K214" s="50"/>
      <c r="L214" s="50"/>
      <c r="M214" s="50"/>
      <c r="N214" s="50"/>
      <c r="O214" s="50"/>
      <c r="P214" s="50"/>
      <c r="Q214" s="50"/>
      <c r="R214" s="50"/>
      <c r="S214" s="50"/>
      <c r="T214" s="50"/>
      <c r="U214" s="50"/>
      <c r="V214" s="50"/>
      <c r="W214" s="50"/>
      <c r="X214" s="50"/>
      <c r="Y214" s="50"/>
      <c r="Z214" s="50"/>
      <c r="AA214" s="50"/>
      <c r="AB214" s="50"/>
      <c r="AC214" s="50"/>
      <c r="AD214" s="50"/>
      <c r="AE214" s="50"/>
      <c r="AF214" s="50"/>
    </row>
    <row r="215" spans="1:32">
      <c r="A215" s="50"/>
      <c r="B215" s="50"/>
      <c r="C215" s="50"/>
      <c r="D215" s="50"/>
      <c r="E215" s="50"/>
      <c r="F215" s="50"/>
      <c r="G215" s="50"/>
      <c r="H215" s="50"/>
      <c r="I215" s="50"/>
      <c r="J215" s="50"/>
      <c r="K215" s="50"/>
      <c r="L215" s="50"/>
      <c r="M215" s="50"/>
      <c r="N215" s="50"/>
      <c r="O215" s="50"/>
      <c r="P215" s="50"/>
      <c r="Q215" s="50"/>
      <c r="R215" s="50"/>
      <c r="S215" s="50"/>
      <c r="T215" s="50"/>
      <c r="U215" s="50"/>
      <c r="V215" s="50"/>
      <c r="W215" s="50"/>
      <c r="X215" s="50"/>
      <c r="Y215" s="50"/>
      <c r="Z215" s="50"/>
      <c r="AA215" s="50"/>
      <c r="AB215" s="50"/>
      <c r="AC215" s="50"/>
      <c r="AD215" s="50"/>
      <c r="AE215" s="50"/>
      <c r="AF215" s="50"/>
    </row>
    <row r="216" spans="1:32">
      <c r="A216" s="50"/>
      <c r="B216" s="50"/>
      <c r="C216" s="50"/>
      <c r="D216" s="50"/>
      <c r="E216" s="50"/>
      <c r="F216" s="50"/>
      <c r="G216" s="50"/>
      <c r="H216" s="50"/>
      <c r="I216" s="50"/>
      <c r="J216" s="50"/>
      <c r="K216" s="50"/>
      <c r="L216" s="50"/>
      <c r="M216" s="50"/>
      <c r="N216" s="50"/>
      <c r="O216" s="50"/>
      <c r="P216" s="50"/>
      <c r="Q216" s="50"/>
      <c r="R216" s="50"/>
      <c r="S216" s="50"/>
      <c r="T216" s="50"/>
      <c r="U216" s="50"/>
      <c r="V216" s="50"/>
      <c r="W216" s="50"/>
      <c r="X216" s="50"/>
      <c r="Y216" s="50"/>
      <c r="Z216" s="50"/>
      <c r="AA216" s="50"/>
      <c r="AB216" s="50"/>
      <c r="AC216" s="50"/>
      <c r="AD216" s="50"/>
      <c r="AE216" s="50"/>
      <c r="AF216" s="50"/>
    </row>
    <row r="217" spans="1:32">
      <c r="A217" s="50"/>
      <c r="B217" s="50"/>
      <c r="C217" s="50"/>
      <c r="D217" s="50"/>
      <c r="E217" s="50"/>
      <c r="F217" s="50"/>
      <c r="G217" s="50"/>
      <c r="H217" s="50"/>
      <c r="I217" s="50"/>
      <c r="J217" s="50"/>
      <c r="K217" s="50"/>
      <c r="L217" s="50"/>
      <c r="M217" s="50"/>
      <c r="N217" s="50"/>
      <c r="O217" s="50"/>
      <c r="P217" s="50"/>
      <c r="Q217" s="50"/>
      <c r="R217" s="50"/>
      <c r="S217" s="50"/>
      <c r="T217" s="50"/>
      <c r="U217" s="50"/>
      <c r="V217" s="50"/>
      <c r="W217" s="50"/>
      <c r="X217" s="50"/>
      <c r="Y217" s="50"/>
      <c r="Z217" s="50"/>
      <c r="AA217" s="50"/>
      <c r="AB217" s="50"/>
      <c r="AC217" s="50"/>
      <c r="AD217" s="50"/>
      <c r="AE217" s="50"/>
      <c r="AF217" s="50"/>
    </row>
    <row r="218" spans="1:32">
      <c r="A218" s="50"/>
      <c r="B218" s="50"/>
      <c r="C218" s="50"/>
      <c r="D218" s="50"/>
      <c r="E218" s="50"/>
      <c r="F218" s="50"/>
      <c r="G218" s="50"/>
      <c r="H218" s="50"/>
      <c r="I218" s="50"/>
      <c r="J218" s="50"/>
      <c r="K218" s="50"/>
      <c r="L218" s="50"/>
      <c r="M218" s="50"/>
      <c r="N218" s="50"/>
      <c r="O218" s="50"/>
      <c r="P218" s="50"/>
      <c r="Q218" s="50"/>
      <c r="R218" s="50"/>
      <c r="S218" s="50"/>
      <c r="T218" s="50"/>
      <c r="U218" s="50"/>
      <c r="V218" s="50"/>
      <c r="W218" s="50"/>
      <c r="X218" s="50"/>
      <c r="Y218" s="50"/>
      <c r="Z218" s="50"/>
      <c r="AA218" s="50"/>
      <c r="AB218" s="50"/>
      <c r="AC218" s="50"/>
      <c r="AD218" s="50"/>
      <c r="AE218" s="50"/>
      <c r="AF218" s="50"/>
    </row>
    <row r="219" spans="1:32">
      <c r="A219" s="50"/>
      <c r="B219" s="50"/>
      <c r="C219" s="50"/>
      <c r="D219" s="50"/>
      <c r="E219" s="50"/>
      <c r="F219" s="50"/>
      <c r="G219" s="50"/>
      <c r="H219" s="50"/>
      <c r="I219" s="50"/>
      <c r="J219" s="50"/>
      <c r="K219" s="50"/>
      <c r="L219" s="50"/>
      <c r="M219" s="50"/>
      <c r="N219" s="50"/>
      <c r="O219" s="50"/>
      <c r="P219" s="50"/>
      <c r="Q219" s="50"/>
      <c r="R219" s="50"/>
      <c r="S219" s="50"/>
      <c r="T219" s="50"/>
      <c r="U219" s="50"/>
      <c r="V219" s="50"/>
      <c r="W219" s="50"/>
      <c r="X219" s="50"/>
      <c r="Y219" s="50"/>
      <c r="Z219" s="50"/>
      <c r="AA219" s="50"/>
      <c r="AB219" s="50"/>
      <c r="AC219" s="50"/>
      <c r="AD219" s="50"/>
      <c r="AE219" s="50"/>
      <c r="AF219" s="50"/>
    </row>
    <row r="220" spans="1:32">
      <c r="A220" s="50"/>
      <c r="B220" s="50"/>
      <c r="C220" s="50"/>
      <c r="D220" s="50"/>
      <c r="E220" s="50"/>
      <c r="F220" s="50"/>
      <c r="G220" s="50"/>
      <c r="H220" s="50"/>
      <c r="I220" s="50"/>
      <c r="J220" s="50"/>
      <c r="K220" s="50"/>
      <c r="L220" s="50"/>
      <c r="M220" s="50"/>
      <c r="N220" s="50"/>
      <c r="O220" s="50"/>
      <c r="P220" s="50"/>
      <c r="Q220" s="50"/>
      <c r="R220" s="50"/>
      <c r="S220" s="50"/>
      <c r="T220" s="50"/>
      <c r="U220" s="50"/>
      <c r="V220" s="50"/>
      <c r="W220" s="50"/>
      <c r="X220" s="50"/>
      <c r="Y220" s="50"/>
      <c r="Z220" s="50"/>
      <c r="AA220" s="50"/>
      <c r="AB220" s="50"/>
      <c r="AC220" s="50"/>
      <c r="AD220" s="50"/>
      <c r="AE220" s="50"/>
      <c r="AF220" s="50"/>
    </row>
    <row r="221" spans="1:32">
      <c r="A221" s="50"/>
      <c r="B221" s="50"/>
      <c r="C221" s="50"/>
      <c r="D221" s="50"/>
      <c r="E221" s="50"/>
      <c r="F221" s="50"/>
      <c r="G221" s="50"/>
      <c r="H221" s="50"/>
      <c r="I221" s="50"/>
      <c r="J221" s="50"/>
      <c r="K221" s="50"/>
      <c r="L221" s="50"/>
      <c r="M221" s="50"/>
      <c r="N221" s="50"/>
      <c r="O221" s="50"/>
      <c r="P221" s="50"/>
      <c r="Q221" s="50"/>
      <c r="R221" s="50"/>
      <c r="S221" s="50"/>
      <c r="T221" s="50"/>
      <c r="U221" s="50"/>
      <c r="V221" s="50"/>
      <c r="W221" s="50"/>
      <c r="X221" s="50"/>
      <c r="Y221" s="50"/>
      <c r="Z221" s="50"/>
      <c r="AA221" s="50"/>
      <c r="AB221" s="50"/>
      <c r="AC221" s="50"/>
      <c r="AD221" s="50"/>
      <c r="AE221" s="50"/>
      <c r="AF221" s="50"/>
    </row>
    <row r="222" spans="1:32">
      <c r="A222" s="50"/>
      <c r="B222" s="50"/>
      <c r="C222" s="50"/>
      <c r="D222" s="50"/>
      <c r="E222" s="50"/>
      <c r="F222" s="50"/>
      <c r="G222" s="50"/>
      <c r="H222" s="50"/>
      <c r="I222" s="50"/>
      <c r="J222" s="50"/>
      <c r="K222" s="50"/>
      <c r="L222" s="50"/>
      <c r="M222" s="50"/>
      <c r="N222" s="50"/>
      <c r="O222" s="50"/>
      <c r="P222" s="50"/>
      <c r="Q222" s="50"/>
      <c r="R222" s="50"/>
      <c r="S222" s="50"/>
      <c r="T222" s="50"/>
      <c r="U222" s="50"/>
      <c r="V222" s="50"/>
      <c r="W222" s="50"/>
      <c r="X222" s="50"/>
      <c r="Y222" s="50"/>
      <c r="Z222" s="50"/>
      <c r="AA222" s="50"/>
      <c r="AB222" s="50"/>
      <c r="AC222" s="50"/>
      <c r="AD222" s="50"/>
      <c r="AE222" s="50"/>
      <c r="AF222" s="50"/>
    </row>
    <row r="223" spans="1:32">
      <c r="A223" s="50"/>
      <c r="B223" s="50"/>
      <c r="C223" s="50"/>
      <c r="D223" s="50"/>
      <c r="E223" s="50"/>
      <c r="F223" s="50"/>
      <c r="G223" s="50"/>
      <c r="H223" s="50"/>
      <c r="I223" s="50"/>
      <c r="J223" s="50"/>
      <c r="K223" s="50"/>
      <c r="L223" s="50"/>
      <c r="M223" s="50"/>
      <c r="N223" s="50"/>
      <c r="O223" s="50"/>
      <c r="P223" s="50"/>
      <c r="Q223" s="50"/>
      <c r="R223" s="50"/>
      <c r="S223" s="50"/>
      <c r="T223" s="50"/>
      <c r="U223" s="50"/>
      <c r="V223" s="50"/>
      <c r="W223" s="50"/>
      <c r="X223" s="50"/>
      <c r="Y223" s="50"/>
      <c r="Z223" s="50"/>
      <c r="AA223" s="50"/>
      <c r="AB223" s="50"/>
      <c r="AC223" s="50"/>
      <c r="AD223" s="50"/>
      <c r="AE223" s="50"/>
      <c r="AF223" s="50"/>
    </row>
    <row r="224" spans="1:32">
      <c r="A224" s="50"/>
      <c r="B224" s="50"/>
      <c r="C224" s="50"/>
      <c r="D224" s="50"/>
      <c r="E224" s="50"/>
      <c r="F224" s="50"/>
      <c r="G224" s="50"/>
      <c r="H224" s="50"/>
      <c r="I224" s="50"/>
      <c r="J224" s="50"/>
      <c r="K224" s="50"/>
      <c r="L224" s="50"/>
      <c r="M224" s="50"/>
      <c r="N224" s="50"/>
      <c r="O224" s="50"/>
      <c r="P224" s="50"/>
      <c r="Q224" s="50"/>
      <c r="R224" s="50"/>
      <c r="S224" s="50"/>
      <c r="T224" s="50"/>
      <c r="U224" s="50"/>
      <c r="V224" s="50"/>
      <c r="W224" s="50"/>
      <c r="X224" s="50"/>
      <c r="Y224" s="50"/>
      <c r="Z224" s="50"/>
      <c r="AA224" s="50"/>
      <c r="AB224" s="50"/>
      <c r="AC224" s="50"/>
      <c r="AD224" s="50"/>
      <c r="AE224" s="50"/>
      <c r="AF224" s="50"/>
    </row>
    <row r="225" spans="1:32">
      <c r="A225" s="50"/>
      <c r="B225" s="50"/>
      <c r="C225" s="50"/>
      <c r="D225" s="50"/>
      <c r="E225" s="50"/>
      <c r="F225" s="50"/>
      <c r="G225" s="50"/>
      <c r="H225" s="50"/>
      <c r="I225" s="50"/>
      <c r="J225" s="50"/>
      <c r="K225" s="50"/>
      <c r="L225" s="50"/>
      <c r="M225" s="50"/>
      <c r="N225" s="50"/>
      <c r="O225" s="50"/>
      <c r="P225" s="50"/>
      <c r="Q225" s="50"/>
      <c r="R225" s="50"/>
      <c r="S225" s="50"/>
      <c r="T225" s="50"/>
      <c r="U225" s="50"/>
      <c r="V225" s="50"/>
      <c r="W225" s="50"/>
      <c r="X225" s="50"/>
      <c r="Y225" s="50"/>
      <c r="Z225" s="50"/>
      <c r="AA225" s="50"/>
      <c r="AB225" s="50"/>
      <c r="AC225" s="50"/>
      <c r="AD225" s="50"/>
      <c r="AE225" s="50"/>
      <c r="AF225" s="50"/>
    </row>
    <row r="226" spans="1:32">
      <c r="A226" s="50"/>
      <c r="B226" s="50"/>
      <c r="C226" s="50"/>
      <c r="D226" s="50"/>
      <c r="E226" s="50"/>
      <c r="F226" s="50"/>
      <c r="G226" s="50"/>
      <c r="H226" s="50"/>
      <c r="I226" s="50"/>
      <c r="J226" s="50"/>
      <c r="K226" s="50"/>
      <c r="L226" s="50"/>
      <c r="M226" s="50"/>
      <c r="N226" s="50"/>
      <c r="O226" s="50"/>
      <c r="P226" s="50"/>
      <c r="Q226" s="50"/>
      <c r="R226" s="50"/>
      <c r="S226" s="50"/>
      <c r="T226" s="50"/>
      <c r="U226" s="50"/>
      <c r="V226" s="50"/>
      <c r="W226" s="50"/>
      <c r="X226" s="50"/>
      <c r="Y226" s="50"/>
      <c r="Z226" s="50"/>
      <c r="AA226" s="50"/>
      <c r="AB226" s="50"/>
      <c r="AC226" s="50"/>
      <c r="AD226" s="50"/>
      <c r="AE226" s="50"/>
      <c r="AF226" s="50"/>
    </row>
    <row r="227" spans="1:32">
      <c r="A227" s="50"/>
      <c r="B227" s="50"/>
      <c r="C227" s="50"/>
      <c r="D227" s="50"/>
      <c r="E227" s="50"/>
      <c r="F227" s="50"/>
      <c r="G227" s="50"/>
      <c r="H227" s="50"/>
      <c r="I227" s="50"/>
      <c r="J227" s="50"/>
      <c r="K227" s="50"/>
      <c r="L227" s="50"/>
      <c r="M227" s="50"/>
      <c r="N227" s="50"/>
      <c r="O227" s="50"/>
      <c r="P227" s="50"/>
      <c r="Q227" s="50"/>
      <c r="R227" s="50"/>
      <c r="S227" s="50"/>
      <c r="T227" s="50"/>
      <c r="U227" s="50"/>
      <c r="V227" s="50"/>
      <c r="W227" s="50"/>
      <c r="X227" s="50"/>
      <c r="Y227" s="50"/>
      <c r="Z227" s="50"/>
      <c r="AA227" s="50"/>
      <c r="AB227" s="50"/>
      <c r="AC227" s="50"/>
      <c r="AD227" s="50"/>
      <c r="AE227" s="50"/>
      <c r="AF227" s="50"/>
    </row>
    <row r="228" spans="1:32">
      <c r="A228" s="50"/>
      <c r="B228" s="50"/>
      <c r="C228" s="50"/>
      <c r="D228" s="50"/>
      <c r="E228" s="50"/>
      <c r="F228" s="50"/>
      <c r="G228" s="50"/>
      <c r="H228" s="50"/>
      <c r="I228" s="50"/>
      <c r="J228" s="50"/>
      <c r="K228" s="50"/>
      <c r="L228" s="50"/>
      <c r="M228" s="50"/>
      <c r="N228" s="50"/>
      <c r="O228" s="50"/>
      <c r="P228" s="50"/>
      <c r="Q228" s="50"/>
      <c r="R228" s="50"/>
      <c r="S228" s="50"/>
      <c r="T228" s="50"/>
      <c r="U228" s="50"/>
      <c r="V228" s="50"/>
      <c r="W228" s="50"/>
      <c r="X228" s="50"/>
      <c r="Y228" s="50"/>
      <c r="Z228" s="50"/>
      <c r="AA228" s="50"/>
      <c r="AB228" s="50"/>
      <c r="AC228" s="50"/>
      <c r="AD228" s="50"/>
      <c r="AE228" s="50"/>
      <c r="AF228" s="50"/>
    </row>
    <row r="229" spans="1:32">
      <c r="A229" s="50"/>
      <c r="B229" s="50"/>
      <c r="C229" s="50"/>
      <c r="D229" s="50"/>
      <c r="E229" s="50"/>
      <c r="F229" s="50"/>
      <c r="G229" s="50"/>
      <c r="H229" s="50"/>
      <c r="I229" s="50"/>
      <c r="J229" s="50"/>
      <c r="K229" s="50"/>
      <c r="L229" s="50"/>
      <c r="M229" s="50"/>
      <c r="N229" s="50"/>
      <c r="O229" s="50"/>
      <c r="P229" s="50"/>
      <c r="Q229" s="50"/>
      <c r="R229" s="50"/>
      <c r="S229" s="50"/>
      <c r="T229" s="50"/>
      <c r="U229" s="50"/>
      <c r="V229" s="50"/>
      <c r="W229" s="50"/>
      <c r="X229" s="50"/>
      <c r="Y229" s="50"/>
      <c r="Z229" s="50"/>
      <c r="AA229" s="50"/>
      <c r="AB229" s="50"/>
      <c r="AC229" s="50"/>
      <c r="AD229" s="50"/>
      <c r="AE229" s="50"/>
      <c r="AF229" s="50"/>
    </row>
    <row r="230" spans="1:32">
      <c r="A230" s="50"/>
      <c r="B230" s="50"/>
      <c r="C230" s="50"/>
      <c r="D230" s="50"/>
      <c r="E230" s="50"/>
      <c r="F230" s="50"/>
      <c r="G230" s="50"/>
      <c r="H230" s="50"/>
      <c r="I230" s="50"/>
      <c r="J230" s="50"/>
      <c r="K230" s="50"/>
      <c r="L230" s="50"/>
      <c r="M230" s="50"/>
      <c r="N230" s="50"/>
      <c r="O230" s="50"/>
      <c r="P230" s="50"/>
      <c r="Q230" s="50"/>
      <c r="R230" s="50"/>
      <c r="S230" s="50"/>
      <c r="T230" s="50"/>
      <c r="U230" s="50"/>
      <c r="V230" s="50"/>
      <c r="W230" s="50"/>
      <c r="X230" s="50"/>
      <c r="Y230" s="50"/>
      <c r="Z230" s="50"/>
      <c r="AA230" s="50"/>
      <c r="AB230" s="50"/>
      <c r="AC230" s="50"/>
      <c r="AD230" s="50"/>
      <c r="AE230" s="50"/>
      <c r="AF230" s="50"/>
    </row>
    <row r="231" spans="1:32">
      <c r="A231" s="50"/>
      <c r="B231" s="50"/>
      <c r="C231" s="50"/>
      <c r="D231" s="50"/>
      <c r="E231" s="50"/>
      <c r="F231" s="50"/>
      <c r="G231" s="50"/>
      <c r="H231" s="50"/>
      <c r="I231" s="50"/>
      <c r="J231" s="50"/>
      <c r="K231" s="50"/>
      <c r="L231" s="50"/>
      <c r="M231" s="50"/>
      <c r="N231" s="50"/>
      <c r="O231" s="50"/>
      <c r="P231" s="50"/>
      <c r="Q231" s="50"/>
      <c r="R231" s="50"/>
      <c r="S231" s="50"/>
      <c r="T231" s="50"/>
      <c r="U231" s="50"/>
      <c r="V231" s="50"/>
      <c r="W231" s="50"/>
      <c r="X231" s="50"/>
      <c r="Y231" s="50"/>
      <c r="Z231" s="50"/>
      <c r="AA231" s="50"/>
      <c r="AB231" s="50"/>
      <c r="AC231" s="50"/>
      <c r="AD231" s="50"/>
      <c r="AE231" s="50"/>
      <c r="AF231" s="50"/>
    </row>
    <row r="232" spans="1:32">
      <c r="A232" s="50"/>
      <c r="B232" s="50"/>
      <c r="C232" s="50"/>
      <c r="D232" s="50"/>
      <c r="E232" s="50"/>
      <c r="F232" s="50"/>
      <c r="G232" s="50"/>
      <c r="H232" s="50"/>
      <c r="I232" s="50"/>
      <c r="J232" s="50"/>
      <c r="K232" s="50"/>
      <c r="L232" s="50"/>
      <c r="M232" s="50"/>
      <c r="N232" s="50"/>
      <c r="O232" s="50"/>
      <c r="P232" s="50"/>
      <c r="Q232" s="50"/>
      <c r="R232" s="50"/>
      <c r="S232" s="50"/>
      <c r="T232" s="50"/>
      <c r="U232" s="50"/>
      <c r="V232" s="50"/>
      <c r="W232" s="50"/>
      <c r="X232" s="50"/>
      <c r="Y232" s="50"/>
      <c r="Z232" s="50"/>
      <c r="AA232" s="50"/>
      <c r="AB232" s="50"/>
      <c r="AC232" s="50"/>
      <c r="AD232" s="50"/>
      <c r="AE232" s="50"/>
      <c r="AF232" s="50"/>
    </row>
    <row r="233" spans="1:32">
      <c r="A233" s="50"/>
      <c r="B233" s="50"/>
      <c r="C233" s="50"/>
      <c r="D233" s="50"/>
      <c r="E233" s="50"/>
      <c r="F233" s="50"/>
      <c r="G233" s="50"/>
      <c r="H233" s="50"/>
      <c r="I233" s="50"/>
      <c r="J233" s="50"/>
      <c r="K233" s="50"/>
      <c r="L233" s="50"/>
      <c r="M233" s="50"/>
      <c r="N233" s="50"/>
      <c r="O233" s="50"/>
      <c r="P233" s="50"/>
      <c r="Q233" s="50"/>
      <c r="R233" s="50"/>
      <c r="S233" s="50"/>
      <c r="T233" s="50"/>
      <c r="U233" s="50"/>
      <c r="V233" s="50"/>
      <c r="W233" s="50"/>
      <c r="X233" s="50"/>
      <c r="Y233" s="50"/>
      <c r="Z233" s="50"/>
      <c r="AA233" s="50"/>
      <c r="AB233" s="50"/>
      <c r="AC233" s="50"/>
      <c r="AD233" s="50"/>
      <c r="AE233" s="50"/>
      <c r="AF233" s="50"/>
    </row>
    <row r="234" spans="1:32">
      <c r="A234" s="50"/>
      <c r="B234" s="50"/>
      <c r="C234" s="50"/>
      <c r="D234" s="50"/>
      <c r="E234" s="50"/>
      <c r="F234" s="50"/>
      <c r="G234" s="50"/>
      <c r="H234" s="50"/>
      <c r="I234" s="50"/>
      <c r="J234" s="50"/>
      <c r="K234" s="50"/>
      <c r="L234" s="50"/>
      <c r="M234" s="50"/>
      <c r="N234" s="50"/>
      <c r="O234" s="50"/>
      <c r="P234" s="50"/>
      <c r="Q234" s="50"/>
      <c r="R234" s="50"/>
      <c r="S234" s="50"/>
      <c r="T234" s="50"/>
      <c r="U234" s="50"/>
      <c r="V234" s="50"/>
      <c r="W234" s="50"/>
      <c r="X234" s="50"/>
      <c r="Y234" s="50"/>
      <c r="Z234" s="50"/>
      <c r="AA234" s="50"/>
      <c r="AB234" s="50"/>
      <c r="AC234" s="50"/>
      <c r="AD234" s="50"/>
      <c r="AE234" s="50"/>
      <c r="AF234" s="50"/>
    </row>
    <row r="235" spans="1:32">
      <c r="A235" s="50"/>
      <c r="B235" s="50"/>
      <c r="C235" s="50"/>
      <c r="D235" s="50"/>
      <c r="E235" s="50"/>
      <c r="F235" s="50"/>
      <c r="G235" s="50"/>
      <c r="H235" s="50"/>
      <c r="I235" s="50"/>
      <c r="J235" s="50"/>
      <c r="K235" s="50"/>
      <c r="L235" s="50"/>
      <c r="M235" s="50"/>
      <c r="N235" s="50"/>
      <c r="O235" s="50"/>
      <c r="P235" s="50"/>
      <c r="Q235" s="50"/>
      <c r="R235" s="50"/>
      <c r="S235" s="50"/>
      <c r="T235" s="50"/>
      <c r="U235" s="50"/>
      <c r="V235" s="50"/>
      <c r="W235" s="50"/>
      <c r="X235" s="50"/>
      <c r="Y235" s="50"/>
      <c r="Z235" s="50"/>
      <c r="AA235" s="50"/>
      <c r="AB235" s="50"/>
      <c r="AC235" s="50"/>
      <c r="AD235" s="50"/>
      <c r="AE235" s="50"/>
      <c r="AF235" s="50"/>
    </row>
    <row r="236" spans="1:32">
      <c r="A236" s="50"/>
      <c r="B236" s="50"/>
      <c r="C236" s="50"/>
      <c r="D236" s="50"/>
      <c r="E236" s="50"/>
      <c r="F236" s="50"/>
      <c r="G236" s="50"/>
      <c r="H236" s="50"/>
      <c r="I236" s="50"/>
      <c r="J236" s="50"/>
      <c r="K236" s="50"/>
      <c r="L236" s="50"/>
      <c r="M236" s="50"/>
      <c r="N236" s="50"/>
      <c r="O236" s="50"/>
      <c r="P236" s="50"/>
      <c r="Q236" s="50"/>
      <c r="R236" s="50"/>
      <c r="S236" s="50"/>
      <c r="T236" s="50"/>
      <c r="U236" s="50"/>
      <c r="V236" s="50"/>
      <c r="W236" s="50"/>
      <c r="X236" s="50"/>
      <c r="Y236" s="50"/>
      <c r="Z236" s="50"/>
      <c r="AA236" s="50"/>
      <c r="AB236" s="50"/>
      <c r="AC236" s="50"/>
      <c r="AD236" s="50"/>
      <c r="AE236" s="50"/>
      <c r="AF236" s="50"/>
    </row>
    <row r="237" spans="1:32">
      <c r="A237" s="50"/>
      <c r="B237" s="50"/>
      <c r="C237" s="50"/>
      <c r="D237" s="50"/>
      <c r="E237" s="50"/>
      <c r="F237" s="50"/>
      <c r="G237" s="50"/>
      <c r="H237" s="50"/>
      <c r="I237" s="50"/>
      <c r="J237" s="50"/>
      <c r="K237" s="50"/>
      <c r="L237" s="50"/>
      <c r="M237" s="50"/>
      <c r="N237" s="50"/>
      <c r="O237" s="50"/>
      <c r="P237" s="50"/>
      <c r="Q237" s="50"/>
      <c r="R237" s="50"/>
      <c r="S237" s="50"/>
      <c r="T237" s="50"/>
      <c r="U237" s="50"/>
      <c r="V237" s="50"/>
      <c r="W237" s="50"/>
      <c r="X237" s="50"/>
      <c r="Y237" s="50"/>
      <c r="Z237" s="50"/>
      <c r="AA237" s="50"/>
      <c r="AB237" s="50"/>
      <c r="AC237" s="50"/>
      <c r="AD237" s="50"/>
      <c r="AE237" s="50"/>
      <c r="AF237" s="50"/>
    </row>
    <row r="238" spans="1:32">
      <c r="A238" s="50"/>
      <c r="B238" s="50"/>
      <c r="C238" s="50"/>
      <c r="D238" s="50"/>
      <c r="E238" s="50"/>
      <c r="F238" s="50"/>
      <c r="G238" s="50"/>
      <c r="H238" s="50"/>
      <c r="I238" s="50"/>
      <c r="J238" s="50"/>
      <c r="K238" s="50"/>
      <c r="L238" s="50"/>
      <c r="M238" s="50"/>
      <c r="N238" s="50"/>
      <c r="O238" s="50"/>
      <c r="P238" s="50"/>
      <c r="Q238" s="50"/>
      <c r="R238" s="50"/>
      <c r="S238" s="50"/>
      <c r="T238" s="50"/>
      <c r="U238" s="50"/>
      <c r="V238" s="50"/>
      <c r="W238" s="50"/>
      <c r="X238" s="50"/>
      <c r="Y238" s="50"/>
      <c r="Z238" s="50"/>
      <c r="AA238" s="50"/>
      <c r="AB238" s="50"/>
      <c r="AC238" s="50"/>
      <c r="AD238" s="50"/>
      <c r="AE238" s="50"/>
      <c r="AF238" s="50"/>
    </row>
    <row r="239" spans="1:32">
      <c r="A239" s="50"/>
      <c r="B239" s="50"/>
      <c r="C239" s="50"/>
      <c r="D239" s="50"/>
      <c r="E239" s="50"/>
      <c r="F239" s="50"/>
      <c r="G239" s="50"/>
      <c r="H239" s="50"/>
      <c r="I239" s="50"/>
      <c r="J239" s="50"/>
      <c r="K239" s="50"/>
      <c r="L239" s="50"/>
      <c r="M239" s="50"/>
      <c r="N239" s="50"/>
      <c r="O239" s="50"/>
      <c r="P239" s="50"/>
      <c r="Q239" s="50"/>
      <c r="R239" s="50"/>
      <c r="S239" s="50"/>
      <c r="T239" s="50"/>
      <c r="U239" s="50"/>
      <c r="V239" s="50"/>
      <c r="W239" s="50"/>
      <c r="X239" s="50"/>
      <c r="Y239" s="50"/>
      <c r="Z239" s="50"/>
      <c r="AA239" s="50"/>
      <c r="AB239" s="50"/>
      <c r="AC239" s="50"/>
      <c r="AD239" s="50"/>
      <c r="AE239" s="50"/>
      <c r="AF239" s="50"/>
    </row>
    <row r="240" spans="1:32">
      <c r="A240" s="50"/>
      <c r="B240" s="50"/>
      <c r="C240" s="50"/>
      <c r="D240" s="50"/>
      <c r="E240" s="50"/>
      <c r="F240" s="50"/>
      <c r="G240" s="50"/>
      <c r="H240" s="50"/>
      <c r="I240" s="50"/>
      <c r="J240" s="50"/>
      <c r="K240" s="50"/>
      <c r="L240" s="50"/>
      <c r="M240" s="50"/>
      <c r="N240" s="50"/>
      <c r="O240" s="50"/>
      <c r="P240" s="50"/>
      <c r="Q240" s="50"/>
      <c r="R240" s="50"/>
      <c r="S240" s="50"/>
      <c r="T240" s="50"/>
      <c r="U240" s="50"/>
      <c r="V240" s="50"/>
      <c r="W240" s="50"/>
      <c r="X240" s="50"/>
      <c r="Y240" s="50"/>
      <c r="Z240" s="50"/>
      <c r="AA240" s="50"/>
      <c r="AB240" s="50"/>
      <c r="AC240" s="50"/>
      <c r="AD240" s="50"/>
      <c r="AE240" s="50"/>
      <c r="AF240" s="50"/>
    </row>
    <row r="241" spans="1:32">
      <c r="A241" s="50"/>
      <c r="B241" s="50"/>
      <c r="C241" s="50"/>
      <c r="D241" s="50"/>
      <c r="E241" s="50"/>
      <c r="F241" s="50"/>
      <c r="G241" s="50"/>
      <c r="H241" s="50"/>
      <c r="I241" s="50"/>
      <c r="J241" s="50"/>
      <c r="K241" s="50"/>
      <c r="L241" s="50"/>
      <c r="M241" s="50"/>
      <c r="N241" s="50"/>
      <c r="O241" s="50"/>
      <c r="P241" s="50"/>
      <c r="Q241" s="50"/>
      <c r="R241" s="50"/>
      <c r="S241" s="50"/>
      <c r="T241" s="50"/>
      <c r="U241" s="50"/>
      <c r="V241" s="50"/>
      <c r="W241" s="50"/>
      <c r="X241" s="50"/>
      <c r="Y241" s="50"/>
      <c r="Z241" s="50"/>
      <c r="AA241" s="50"/>
      <c r="AB241" s="50"/>
      <c r="AC241" s="50"/>
      <c r="AD241" s="50"/>
      <c r="AE241" s="50"/>
      <c r="AF241" s="50"/>
    </row>
    <row r="242" spans="1:32">
      <c r="A242" s="50"/>
      <c r="B242" s="50"/>
      <c r="C242" s="50"/>
      <c r="D242" s="50"/>
      <c r="E242" s="50"/>
      <c r="F242" s="50"/>
      <c r="G242" s="50"/>
      <c r="H242" s="50"/>
      <c r="I242" s="50"/>
      <c r="J242" s="50"/>
      <c r="K242" s="50"/>
      <c r="L242" s="50"/>
      <c r="M242" s="50"/>
      <c r="N242" s="50"/>
      <c r="O242" s="50"/>
      <c r="P242" s="50"/>
      <c r="Q242" s="50"/>
      <c r="R242" s="50"/>
      <c r="S242" s="50"/>
      <c r="T242" s="50"/>
      <c r="U242" s="50"/>
      <c r="V242" s="50"/>
      <c r="W242" s="50"/>
      <c r="X242" s="50"/>
      <c r="Y242" s="50"/>
      <c r="Z242" s="50"/>
      <c r="AA242" s="50"/>
      <c r="AB242" s="50"/>
      <c r="AC242" s="50"/>
      <c r="AD242" s="50"/>
      <c r="AE242" s="50"/>
      <c r="AF242" s="50"/>
    </row>
    <row r="243" spans="1:32">
      <c r="A243" s="50"/>
      <c r="B243" s="50"/>
      <c r="C243" s="50"/>
      <c r="D243" s="50"/>
      <c r="E243" s="50"/>
      <c r="F243" s="50"/>
      <c r="G243" s="50"/>
      <c r="H243" s="50"/>
      <c r="I243" s="50"/>
      <c r="J243" s="50"/>
      <c r="K243" s="50"/>
      <c r="L243" s="50"/>
      <c r="M243" s="50"/>
      <c r="N243" s="50"/>
      <c r="O243" s="50"/>
      <c r="P243" s="50"/>
      <c r="Q243" s="50"/>
      <c r="R243" s="50"/>
      <c r="S243" s="50"/>
      <c r="T243" s="50"/>
      <c r="U243" s="50"/>
      <c r="V243" s="50"/>
      <c r="W243" s="50"/>
      <c r="X243" s="50"/>
      <c r="Y243" s="50"/>
      <c r="Z243" s="50"/>
      <c r="AA243" s="50"/>
      <c r="AB243" s="50"/>
      <c r="AC243" s="50"/>
      <c r="AD243" s="50"/>
      <c r="AE243" s="50"/>
      <c r="AF243" s="50"/>
    </row>
    <row r="244" spans="1:32">
      <c r="A244" s="50"/>
      <c r="B244" s="50"/>
      <c r="C244" s="50"/>
      <c r="D244" s="50"/>
      <c r="E244" s="50"/>
      <c r="F244" s="50"/>
      <c r="G244" s="50"/>
      <c r="H244" s="50"/>
      <c r="I244" s="50"/>
      <c r="J244" s="50"/>
      <c r="K244" s="50"/>
      <c r="L244" s="50"/>
      <c r="M244" s="50"/>
      <c r="N244" s="50"/>
      <c r="O244" s="50"/>
      <c r="P244" s="50"/>
      <c r="Q244" s="50"/>
      <c r="R244" s="50"/>
      <c r="S244" s="50"/>
      <c r="T244" s="50"/>
      <c r="U244" s="50"/>
      <c r="V244" s="50"/>
      <c r="W244" s="50"/>
      <c r="X244" s="50"/>
      <c r="Y244" s="50"/>
      <c r="Z244" s="50"/>
      <c r="AA244" s="50"/>
      <c r="AB244" s="50"/>
      <c r="AC244" s="50"/>
      <c r="AD244" s="50"/>
      <c r="AE244" s="50"/>
      <c r="AF244" s="50"/>
    </row>
    <row r="245" spans="1:32">
      <c r="A245" s="50"/>
      <c r="B245" s="50"/>
      <c r="C245" s="50"/>
      <c r="D245" s="50"/>
      <c r="E245" s="50"/>
      <c r="F245" s="50"/>
      <c r="G245" s="50"/>
      <c r="H245" s="50"/>
      <c r="I245" s="50"/>
      <c r="J245" s="50"/>
      <c r="K245" s="50"/>
      <c r="L245" s="50"/>
      <c r="M245" s="50"/>
      <c r="N245" s="50"/>
      <c r="O245" s="50"/>
      <c r="P245" s="50"/>
      <c r="Q245" s="50"/>
      <c r="R245" s="50"/>
      <c r="S245" s="50"/>
      <c r="T245" s="50"/>
      <c r="U245" s="50"/>
      <c r="V245" s="50"/>
      <c r="W245" s="50"/>
      <c r="X245" s="50"/>
      <c r="Y245" s="50"/>
      <c r="Z245" s="50"/>
      <c r="AA245" s="50"/>
      <c r="AB245" s="50"/>
      <c r="AC245" s="50"/>
      <c r="AD245" s="50"/>
      <c r="AE245" s="50"/>
      <c r="AF245" s="50"/>
    </row>
    <row r="246" spans="1:32">
      <c r="A246" s="50"/>
      <c r="B246" s="50"/>
      <c r="C246" s="50"/>
      <c r="D246" s="50"/>
      <c r="E246" s="50"/>
      <c r="F246" s="50"/>
      <c r="G246" s="50"/>
      <c r="H246" s="50"/>
      <c r="I246" s="50"/>
      <c r="J246" s="50"/>
      <c r="K246" s="50"/>
      <c r="L246" s="50"/>
      <c r="M246" s="50"/>
      <c r="N246" s="50"/>
      <c r="O246" s="50"/>
      <c r="P246" s="50"/>
      <c r="Q246" s="50"/>
      <c r="R246" s="50"/>
      <c r="S246" s="50"/>
      <c r="T246" s="50"/>
      <c r="U246" s="50"/>
      <c r="V246" s="50"/>
      <c r="W246" s="50"/>
      <c r="X246" s="50"/>
      <c r="Y246" s="50"/>
      <c r="Z246" s="50"/>
      <c r="AA246" s="50"/>
      <c r="AB246" s="50"/>
      <c r="AC246" s="50"/>
      <c r="AD246" s="50"/>
      <c r="AE246" s="50"/>
      <c r="AF246" s="50"/>
    </row>
    <row r="247" spans="1:32">
      <c r="A247" s="50"/>
      <c r="B247" s="50"/>
      <c r="C247" s="50"/>
      <c r="D247" s="50"/>
      <c r="E247" s="50"/>
      <c r="F247" s="50"/>
      <c r="G247" s="50"/>
      <c r="H247" s="50"/>
      <c r="I247" s="50"/>
      <c r="J247" s="50"/>
      <c r="K247" s="50"/>
      <c r="L247" s="50"/>
      <c r="M247" s="50"/>
      <c r="N247" s="50"/>
      <c r="O247" s="50"/>
      <c r="P247" s="50"/>
      <c r="Q247" s="50"/>
      <c r="R247" s="50"/>
      <c r="S247" s="50"/>
      <c r="T247" s="50"/>
      <c r="U247" s="50"/>
      <c r="V247" s="50"/>
      <c r="W247" s="50"/>
      <c r="X247" s="50"/>
      <c r="Y247" s="50"/>
      <c r="Z247" s="50"/>
      <c r="AA247" s="50"/>
      <c r="AB247" s="50"/>
      <c r="AC247" s="50"/>
      <c r="AD247" s="50"/>
      <c r="AE247" s="50"/>
      <c r="AF247" s="50"/>
    </row>
    <row r="248" spans="1:32">
      <c r="A248" s="50"/>
      <c r="B248" s="50"/>
      <c r="C248" s="50"/>
      <c r="D248" s="50"/>
      <c r="E248" s="50"/>
      <c r="F248" s="50"/>
      <c r="G248" s="50"/>
      <c r="H248" s="50"/>
      <c r="I248" s="50"/>
      <c r="J248" s="50"/>
      <c r="K248" s="50"/>
      <c r="L248" s="50"/>
      <c r="M248" s="50"/>
      <c r="N248" s="50"/>
      <c r="O248" s="50"/>
      <c r="P248" s="50"/>
      <c r="Q248" s="50"/>
      <c r="R248" s="50"/>
      <c r="S248" s="50"/>
      <c r="T248" s="50"/>
      <c r="U248" s="50"/>
      <c r="V248" s="50"/>
      <c r="W248" s="50"/>
      <c r="X248" s="50"/>
      <c r="Y248" s="50"/>
      <c r="Z248" s="50"/>
      <c r="AA248" s="50"/>
      <c r="AB248" s="50"/>
      <c r="AC248" s="50"/>
      <c r="AD248" s="50"/>
      <c r="AE248" s="50"/>
      <c r="AF248" s="50"/>
    </row>
    <row r="249" spans="1:32">
      <c r="A249" s="50"/>
      <c r="B249" s="50"/>
      <c r="C249" s="50"/>
      <c r="D249" s="50"/>
      <c r="E249" s="50"/>
      <c r="F249" s="50"/>
      <c r="G249" s="50"/>
      <c r="H249" s="50"/>
      <c r="I249" s="50"/>
      <c r="J249" s="50"/>
      <c r="K249" s="50"/>
      <c r="L249" s="50"/>
      <c r="M249" s="50"/>
      <c r="N249" s="50"/>
      <c r="O249" s="50"/>
      <c r="P249" s="50"/>
      <c r="Q249" s="50"/>
      <c r="R249" s="50"/>
      <c r="S249" s="50"/>
      <c r="T249" s="50"/>
      <c r="U249" s="50"/>
      <c r="V249" s="50"/>
      <c r="W249" s="50"/>
      <c r="X249" s="50"/>
      <c r="Y249" s="50"/>
      <c r="Z249" s="50"/>
      <c r="AA249" s="50"/>
      <c r="AB249" s="50"/>
      <c r="AC249" s="50"/>
      <c r="AD249" s="50"/>
      <c r="AE249" s="50"/>
      <c r="AF249" s="50"/>
    </row>
    <row r="250" spans="1:32">
      <c r="A250" s="50"/>
      <c r="B250" s="50"/>
      <c r="C250" s="50"/>
      <c r="D250" s="50"/>
      <c r="E250" s="50"/>
      <c r="F250" s="50"/>
      <c r="G250" s="50"/>
      <c r="H250" s="50"/>
      <c r="I250" s="50"/>
      <c r="J250" s="50"/>
      <c r="K250" s="50"/>
      <c r="L250" s="50"/>
      <c r="M250" s="50"/>
      <c r="N250" s="50"/>
      <c r="O250" s="50"/>
      <c r="P250" s="50"/>
      <c r="Q250" s="50"/>
      <c r="R250" s="50"/>
      <c r="S250" s="50"/>
      <c r="T250" s="50"/>
      <c r="U250" s="50"/>
      <c r="V250" s="50"/>
      <c r="W250" s="50"/>
      <c r="X250" s="50"/>
      <c r="Y250" s="50"/>
      <c r="Z250" s="50"/>
      <c r="AA250" s="50"/>
      <c r="AB250" s="50"/>
      <c r="AC250" s="50"/>
      <c r="AD250" s="50"/>
      <c r="AE250" s="50"/>
      <c r="AF250" s="50"/>
    </row>
    <row r="251" spans="1:32">
      <c r="A251" s="50"/>
      <c r="B251" s="50"/>
      <c r="C251" s="50"/>
      <c r="D251" s="50"/>
      <c r="E251" s="50"/>
      <c r="F251" s="50"/>
      <c r="G251" s="50"/>
      <c r="H251" s="50"/>
      <c r="I251" s="50"/>
      <c r="J251" s="50"/>
      <c r="K251" s="50"/>
      <c r="L251" s="50"/>
      <c r="M251" s="50"/>
      <c r="N251" s="50"/>
      <c r="O251" s="50"/>
      <c r="P251" s="50"/>
      <c r="Q251" s="50"/>
      <c r="R251" s="50"/>
      <c r="S251" s="50"/>
      <c r="T251" s="50"/>
      <c r="U251" s="50"/>
      <c r="V251" s="50"/>
      <c r="W251" s="50"/>
      <c r="X251" s="50"/>
      <c r="Y251" s="50"/>
      <c r="Z251" s="50"/>
      <c r="AA251" s="50"/>
      <c r="AB251" s="50"/>
      <c r="AC251" s="50"/>
      <c r="AD251" s="50"/>
      <c r="AE251" s="50"/>
      <c r="AF251" s="50"/>
    </row>
    <row r="252" spans="1:32">
      <c r="A252" s="50"/>
      <c r="B252" s="50"/>
      <c r="C252" s="50"/>
      <c r="D252" s="50"/>
      <c r="E252" s="50"/>
      <c r="F252" s="50"/>
      <c r="G252" s="50"/>
      <c r="H252" s="50"/>
      <c r="I252" s="50"/>
      <c r="J252" s="50"/>
      <c r="K252" s="50"/>
      <c r="L252" s="50"/>
      <c r="M252" s="50"/>
      <c r="N252" s="50"/>
      <c r="O252" s="50"/>
      <c r="P252" s="50"/>
      <c r="Q252" s="50"/>
      <c r="R252" s="50"/>
      <c r="S252" s="50"/>
      <c r="T252" s="50"/>
      <c r="U252" s="50"/>
      <c r="V252" s="50"/>
      <c r="W252" s="50"/>
      <c r="X252" s="50"/>
      <c r="Y252" s="50"/>
      <c r="Z252" s="50"/>
      <c r="AA252" s="50"/>
      <c r="AB252" s="50"/>
      <c r="AC252" s="50"/>
      <c r="AD252" s="50"/>
      <c r="AE252" s="50"/>
      <c r="AF252" s="50"/>
    </row>
  </sheetData>
  <sheetProtection algorithmName="SHA-512" hashValue="VTFTzDuAr6P5PwyekOz/xPhs590G/oqjGgAbLZ87zKCXnOWg10PD0aN6tTU/XQ1bVUkFEB0MNSDRJIbBT0nMJA==" saltValue="lZmV1PeL9O3MPRBVY9wm+g==" spinCount="100000" sheet="1" objects="1" scenarios="1"/>
  <customSheetViews>
    <customSheetView guid="{52A26A5D-FD00-480B-943F-DB06B537D6D8}" scale="90" hiddenRows="1">
      <selection activeCell="C45" sqref="C45"/>
      <pageMargins left="0.7" right="0.7" top="0.75" bottom="0.75" header="0.3" footer="0.3"/>
      <pageSetup scale="47" orientation="landscape" r:id="rId1"/>
    </customSheetView>
    <customSheetView guid="{EF22FA0B-F747-41C1-93DE-56651BBC6020}" scale="90" hiddenRows="1" topLeftCell="A16">
      <selection activeCell="D13" sqref="D13"/>
      <pageMargins left="0.7" right="0.7" top="0.75" bottom="0.75" header="0.3" footer="0.3"/>
      <pageSetup scale="47" orientation="landscape" r:id="rId2"/>
    </customSheetView>
  </customSheetViews>
  <mergeCells count="11">
    <mergeCell ref="A54:A61"/>
    <mergeCell ref="A47:A53"/>
    <mergeCell ref="A1:F1"/>
    <mergeCell ref="A18:A20"/>
    <mergeCell ref="A22:A24"/>
    <mergeCell ref="B11:C11"/>
    <mergeCell ref="B12:C12"/>
    <mergeCell ref="B10:D10"/>
    <mergeCell ref="B13:C13"/>
    <mergeCell ref="B14:C14"/>
    <mergeCell ref="A35:A36"/>
  </mergeCells>
  <dataValidations count="33">
    <dataValidation type="list" allowBlank="1" showInputMessage="1" showErrorMessage="1" sqref="D11:D12">
      <formula1>$B$88:$E$88</formula1>
    </dataValidation>
    <dataValidation type="list" allowBlank="1" showInputMessage="1" showErrorMessage="1" sqref="D34">
      <formula1>$B$101:$E$101</formula1>
    </dataValidation>
    <dataValidation type="list" allowBlank="1" showInputMessage="1" showErrorMessage="1" sqref="D40">
      <formula1>$B$104:$E$104</formula1>
    </dataValidation>
    <dataValidation type="list" allowBlank="1" showInputMessage="1" showErrorMessage="1" sqref="D36">
      <formula1>$B$103:$D$103</formula1>
    </dataValidation>
    <dataValidation type="list" allowBlank="1" showInputMessage="1" showErrorMessage="1" sqref="D41">
      <formula1>$B$105:$E$105</formula1>
    </dataValidation>
    <dataValidation type="list" allowBlank="1" showInputMessage="1" showErrorMessage="1" sqref="D42">
      <formula1>$B$106:$E$106</formula1>
    </dataValidation>
    <dataValidation type="list" allowBlank="1" showInputMessage="1" showErrorMessage="1" sqref="D32">
      <formula1>$B$99:$D$99</formula1>
    </dataValidation>
    <dataValidation type="list" allowBlank="1" showInputMessage="1" showErrorMessage="1" sqref="D43">
      <formula1>$B$107:$I$107</formula1>
    </dataValidation>
    <dataValidation type="list" allowBlank="1" showInputMessage="1" showErrorMessage="1" sqref="D33">
      <formula1>$B$100:$D$100</formula1>
    </dataValidation>
    <dataValidation type="list" allowBlank="1" showInputMessage="1" showErrorMessage="1" sqref="D13:D14">
      <formula1>$B$89:$D$89</formula1>
    </dataValidation>
    <dataValidation type="list" allowBlank="1" showInputMessage="1" showErrorMessage="1" sqref="D54">
      <formula1>$B$114:$D$114</formula1>
    </dataValidation>
    <dataValidation type="list" allowBlank="1" showInputMessage="1" showErrorMessage="1" sqref="D47">
      <formula1>$B$108:$D$108</formula1>
    </dataValidation>
    <dataValidation type="list" allowBlank="1" showInputMessage="1" showErrorMessage="1" sqref="D61">
      <formula1>$B$120:$D$120</formula1>
    </dataValidation>
    <dataValidation type="list" allowBlank="1" showInputMessage="1" showErrorMessage="1" sqref="D35">
      <formula1>$B$102:$E$102</formula1>
    </dataValidation>
    <dataValidation type="list" allowBlank="1" showInputMessage="1" showErrorMessage="1" sqref="D48">
      <formula1>$B$109:$D$109</formula1>
    </dataValidation>
    <dataValidation type="list" allowBlank="1" showInputMessage="1" showErrorMessage="1" sqref="D55">
      <formula1>$B$115:$D$115</formula1>
    </dataValidation>
    <dataValidation type="list" allowBlank="1" showInputMessage="1" showErrorMessage="1" sqref="D24">
      <formula1>$B$96:$F$96</formula1>
    </dataValidation>
    <dataValidation type="list" allowBlank="1" showInputMessage="1" showErrorMessage="1" sqref="D19">
      <formula1>$B$91:$H$91</formula1>
    </dataValidation>
    <dataValidation type="list" allowBlank="1" showInputMessage="1" showErrorMessage="1" sqref="D50">
      <formula1>$B$111:$F$111</formula1>
    </dataValidation>
    <dataValidation type="list" allowBlank="1" showInputMessage="1" showErrorMessage="1" sqref="D57">
      <formula1>$B$117:$F$117</formula1>
    </dataValidation>
    <dataValidation type="list" allowBlank="1" showInputMessage="1" showErrorMessage="1" sqref="D60">
      <formula1>$B$119:$D$119</formula1>
    </dataValidation>
    <dataValidation type="list" allowBlank="1" showInputMessage="1" showErrorMessage="1" sqref="D58:D59">
      <formula1>$B$118:$D$118</formula1>
    </dataValidation>
    <dataValidation type="list" allowBlank="1" showInputMessage="1" showErrorMessage="1" sqref="D18">
      <formula1>$B$90:$G$90</formula1>
    </dataValidation>
    <dataValidation type="list" allowBlank="1" showInputMessage="1" showErrorMessage="1" sqref="D20">
      <formula1>$B$92:$G$92</formula1>
    </dataValidation>
    <dataValidation type="list" allowBlank="1" showInputMessage="1" showErrorMessage="1" sqref="D25">
      <formula1>$B$97:$D$97</formula1>
    </dataValidation>
    <dataValidation type="list" allowBlank="1" showInputMessage="1" showErrorMessage="1" sqref="D21">
      <formula1>$B$93:$D$93</formula1>
    </dataValidation>
    <dataValidation type="list" allowBlank="1" showInputMessage="1" showErrorMessage="1" sqref="D23">
      <formula1>$B$95:$G$95</formula1>
    </dataValidation>
    <dataValidation type="list" allowBlank="1" showInputMessage="1" showErrorMessage="1" sqref="D22">
      <formula1>$B$94:$F$94</formula1>
    </dataValidation>
    <dataValidation type="list" allowBlank="1" showInputMessage="1" showErrorMessage="1" sqref="D51:D52">
      <formula1>$B$112:$D$112</formula1>
    </dataValidation>
    <dataValidation type="list" allowBlank="1" showInputMessage="1" showErrorMessage="1" sqref="D53">
      <formula1>$B$113:$D$113</formula1>
    </dataValidation>
    <dataValidation type="list" allowBlank="1" showInputMessage="1" showErrorMessage="1" sqref="D26">
      <formula1>$B$98:$D$98</formula1>
    </dataValidation>
    <dataValidation type="list" allowBlank="1" showInputMessage="1" showErrorMessage="1" sqref="D56">
      <formula1>$B$116:$D$116</formula1>
    </dataValidation>
    <dataValidation type="list" allowBlank="1" showInputMessage="1" showErrorMessage="1" sqref="D49">
      <formula1>$B$110:$D$110</formula1>
    </dataValidation>
  </dataValidations>
  <hyperlinks>
    <hyperlink ref="F18" r:id="rId3"/>
    <hyperlink ref="F22" r:id="rId4" display="Energy codes ocean"/>
    <hyperlink ref="F54" r:id="rId5" display="IMT Building Benchmarking"/>
    <hyperlink ref="F23" r:id="rId6" display="Energy codes ocean"/>
    <hyperlink ref="F20" r:id="rId7"/>
    <hyperlink ref="F24" r:id="rId8" display="Energy codes ocean"/>
    <hyperlink ref="F19" r:id="rId9"/>
    <hyperlink ref="F47" r:id="rId10" display="IMT Building Benchmarking"/>
  </hyperlinks>
  <pageMargins left="0.7" right="0.7" top="0.75" bottom="0.75" header="0.3" footer="0.3"/>
  <pageSetup scale="47" orientation="landscape" r:id="rId11"/>
  <ignoredErrors>
    <ignoredError sqref="E33" formula="1"/>
  </ignoredErrors>
  <drawing r:id="rId12"/>
  <legacyDrawing r:id="rId13"/>
  <extLst>
    <ext xmlns:x14="http://schemas.microsoft.com/office/spreadsheetml/2009/9/main" uri="{CCE6A557-97BC-4b89-ADB6-D9C93CAAB3DF}">
      <x14:dataValidations xmlns:xm="http://schemas.microsoft.com/office/excel/2006/main" count="1">
        <x14:dataValidation type="list" allowBlank="1" showInputMessage="1" showErrorMessage="1">
          <x14:formula1>
            <xm:f>'Hidden Sheet'!$C$114:$E$114</xm:f>
          </x14:formula1>
          <xm:sqref>D62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I233"/>
  <sheetViews>
    <sheetView topLeftCell="A67" workbookViewId="0">
      <selection activeCell="D81" sqref="D81"/>
    </sheetView>
  </sheetViews>
  <sheetFormatPr defaultRowHeight="15"/>
  <cols>
    <col min="1" max="1" width="29.5703125" customWidth="1"/>
    <col min="2" max="2" width="41.85546875" bestFit="1" customWidth="1"/>
    <col min="3" max="3" width="17.28515625" bestFit="1" customWidth="1"/>
    <col min="4" max="4" width="24.140625" customWidth="1"/>
    <col min="6" max="6" width="18.5703125" bestFit="1" customWidth="1"/>
    <col min="7" max="7" width="14.140625" bestFit="1" customWidth="1"/>
  </cols>
  <sheetData>
    <row r="1" spans="1:6" ht="21">
      <c r="A1" s="14" t="s">
        <v>74</v>
      </c>
    </row>
    <row r="3" spans="1:6">
      <c r="A3" t="s">
        <v>80</v>
      </c>
      <c r="B3" t="s">
        <v>77</v>
      </c>
      <c r="C3" t="s">
        <v>78</v>
      </c>
    </row>
    <row r="4" spans="1:6">
      <c r="A4" t="s">
        <v>81</v>
      </c>
      <c r="B4" t="s">
        <v>77</v>
      </c>
      <c r="C4" t="s">
        <v>82</v>
      </c>
      <c r="D4" t="s">
        <v>83</v>
      </c>
    </row>
    <row r="7" spans="1:6" ht="21">
      <c r="A7" s="14" t="s">
        <v>84</v>
      </c>
      <c r="C7" t="s">
        <v>388</v>
      </c>
    </row>
    <row r="9" spans="1:6">
      <c r="B9" t="s">
        <v>163</v>
      </c>
    </row>
    <row r="10" spans="1:6">
      <c r="A10" t="s">
        <v>10</v>
      </c>
      <c r="B10" t="s">
        <v>86</v>
      </c>
      <c r="C10" t="s">
        <v>201</v>
      </c>
      <c r="D10" t="s">
        <v>202</v>
      </c>
    </row>
    <row r="11" spans="1:6">
      <c r="B11" t="s">
        <v>23</v>
      </c>
      <c r="C11" t="s">
        <v>164</v>
      </c>
      <c r="D11" t="s">
        <v>165</v>
      </c>
      <c r="E11" t="s">
        <v>166</v>
      </c>
    </row>
    <row r="12" spans="1:6">
      <c r="B12" t="s">
        <v>36</v>
      </c>
      <c r="C12" t="s">
        <v>168</v>
      </c>
      <c r="D12" t="s">
        <v>167</v>
      </c>
    </row>
    <row r="13" spans="1:6">
      <c r="B13" t="s">
        <v>169</v>
      </c>
      <c r="C13" t="s">
        <v>171</v>
      </c>
      <c r="D13" t="s">
        <v>170</v>
      </c>
    </row>
    <row r="14" spans="1:6">
      <c r="B14" t="s">
        <v>44</v>
      </c>
      <c r="C14" t="s">
        <v>172</v>
      </c>
      <c r="D14" t="s">
        <v>173</v>
      </c>
      <c r="E14" t="s">
        <v>174</v>
      </c>
      <c r="F14" t="s">
        <v>175</v>
      </c>
    </row>
    <row r="15" spans="1:6">
      <c r="B15" t="s">
        <v>51</v>
      </c>
      <c r="C15" t="s">
        <v>386</v>
      </c>
      <c r="D15" t="s">
        <v>387</v>
      </c>
    </row>
    <row r="16" spans="1:6">
      <c r="B16" t="s">
        <v>118</v>
      </c>
      <c r="C16" t="s">
        <v>389</v>
      </c>
      <c r="D16" t="s">
        <v>390</v>
      </c>
    </row>
    <row r="18" spans="1:6">
      <c r="A18" t="s">
        <v>12</v>
      </c>
      <c r="B18" t="s">
        <v>176</v>
      </c>
      <c r="C18" t="s">
        <v>430</v>
      </c>
      <c r="D18" t="s">
        <v>203</v>
      </c>
      <c r="E18" t="s">
        <v>431</v>
      </c>
    </row>
    <row r="19" spans="1:6">
      <c r="B19" t="s">
        <v>177</v>
      </c>
      <c r="C19" t="s">
        <v>172</v>
      </c>
      <c r="D19" t="s">
        <v>173</v>
      </c>
      <c r="E19" t="s">
        <v>174</v>
      </c>
      <c r="F19" t="s">
        <v>175</v>
      </c>
    </row>
    <row r="20" spans="1:6">
      <c r="B20" t="s">
        <v>182</v>
      </c>
      <c r="C20" t="s">
        <v>183</v>
      </c>
      <c r="D20" t="s">
        <v>184</v>
      </c>
    </row>
    <row r="22" spans="1:6">
      <c r="A22" t="s">
        <v>13</v>
      </c>
      <c r="B22" t="s">
        <v>65</v>
      </c>
      <c r="C22" t="s">
        <v>179</v>
      </c>
      <c r="D22" t="s">
        <v>178</v>
      </c>
      <c r="E22" t="s">
        <v>204</v>
      </c>
      <c r="F22" t="s">
        <v>180</v>
      </c>
    </row>
    <row r="23" spans="1:6">
      <c r="B23" t="s">
        <v>94</v>
      </c>
      <c r="C23" t="s">
        <v>379</v>
      </c>
      <c r="D23" t="s">
        <v>206</v>
      </c>
      <c r="E23" t="s">
        <v>205</v>
      </c>
    </row>
    <row r="24" spans="1:6">
      <c r="B24" t="s">
        <v>100</v>
      </c>
      <c r="C24" t="s">
        <v>207</v>
      </c>
      <c r="D24" t="s">
        <v>208</v>
      </c>
    </row>
    <row r="25" spans="1:6">
      <c r="B25" t="s">
        <v>105</v>
      </c>
      <c r="C25" t="s">
        <v>181</v>
      </c>
      <c r="D25" t="s">
        <v>380</v>
      </c>
      <c r="E25" t="s">
        <v>209</v>
      </c>
    </row>
    <row r="26" spans="1:6">
      <c r="B26" t="s">
        <v>125</v>
      </c>
      <c r="C26" t="s">
        <v>185</v>
      </c>
      <c r="D26" t="s">
        <v>186</v>
      </c>
    </row>
    <row r="27" spans="1:6">
      <c r="B27" t="s">
        <v>128</v>
      </c>
      <c r="C27" t="s">
        <v>188</v>
      </c>
      <c r="D27" t="s">
        <v>189</v>
      </c>
    </row>
    <row r="28" spans="1:6">
      <c r="B28" t="s">
        <v>131</v>
      </c>
      <c r="C28" t="s">
        <v>190</v>
      </c>
      <c r="D28" t="s">
        <v>191</v>
      </c>
      <c r="E28" t="s">
        <v>192</v>
      </c>
    </row>
    <row r="29" spans="1:6">
      <c r="B29" t="s">
        <v>132</v>
      </c>
      <c r="C29" t="s">
        <v>432</v>
      </c>
      <c r="D29" t="s">
        <v>433</v>
      </c>
      <c r="E29" t="s">
        <v>193</v>
      </c>
    </row>
    <row r="30" spans="1:6">
      <c r="B30" t="s">
        <v>194</v>
      </c>
      <c r="C30" t="s">
        <v>210</v>
      </c>
      <c r="D30" t="s">
        <v>211</v>
      </c>
      <c r="E30" t="s">
        <v>381</v>
      </c>
      <c r="F30" t="s">
        <v>195</v>
      </c>
    </row>
    <row r="31" spans="1:6">
      <c r="B31" t="s">
        <v>197</v>
      </c>
      <c r="C31" t="s">
        <v>212</v>
      </c>
      <c r="D31" t="s">
        <v>198</v>
      </c>
      <c r="E31" t="s">
        <v>199</v>
      </c>
      <c r="F31" t="s">
        <v>200</v>
      </c>
    </row>
    <row r="32" spans="1:6">
      <c r="B32" t="s">
        <v>52</v>
      </c>
      <c r="C32" t="s">
        <v>213</v>
      </c>
      <c r="D32" t="s">
        <v>214</v>
      </c>
    </row>
    <row r="35" spans="1:7">
      <c r="C35" t="s">
        <v>196</v>
      </c>
    </row>
    <row r="36" spans="1:7" ht="21">
      <c r="A36" s="14" t="s">
        <v>3</v>
      </c>
    </row>
    <row r="38" spans="1:7">
      <c r="A38" t="s">
        <v>10</v>
      </c>
      <c r="B38" t="s">
        <v>86</v>
      </c>
    </row>
    <row r="39" spans="1:7">
      <c r="B39" t="s">
        <v>23</v>
      </c>
      <c r="C39" t="s">
        <v>87</v>
      </c>
      <c r="D39" t="s">
        <v>88</v>
      </c>
    </row>
    <row r="41" spans="1:7">
      <c r="A41" t="s">
        <v>89</v>
      </c>
      <c r="B41" t="s">
        <v>108</v>
      </c>
      <c r="C41" t="s">
        <v>109</v>
      </c>
      <c r="D41" t="s">
        <v>110</v>
      </c>
    </row>
    <row r="43" spans="1:7">
      <c r="A43" t="s">
        <v>13</v>
      </c>
      <c r="B43" t="s">
        <v>24</v>
      </c>
      <c r="C43" t="s">
        <v>287</v>
      </c>
      <c r="D43" t="s">
        <v>284</v>
      </c>
      <c r="E43" t="s">
        <v>285</v>
      </c>
      <c r="F43" t="s">
        <v>111</v>
      </c>
      <c r="G43" t="s">
        <v>286</v>
      </c>
    </row>
    <row r="44" spans="1:7">
      <c r="B44" t="s">
        <v>28</v>
      </c>
      <c r="C44" t="s">
        <v>91</v>
      </c>
      <c r="D44" t="s">
        <v>112</v>
      </c>
    </row>
    <row r="45" spans="1:7">
      <c r="B45" t="s">
        <v>90</v>
      </c>
      <c r="C45" t="s">
        <v>288</v>
      </c>
      <c r="D45" t="s">
        <v>289</v>
      </c>
    </row>
    <row r="46" spans="1:7">
      <c r="B46" t="s">
        <v>65</v>
      </c>
      <c r="C46" t="s">
        <v>92</v>
      </c>
      <c r="D46" t="s">
        <v>385</v>
      </c>
      <c r="E46" t="s">
        <v>93</v>
      </c>
    </row>
    <row r="47" spans="1:7">
      <c r="B47" t="s">
        <v>94</v>
      </c>
      <c r="C47" t="s">
        <v>95</v>
      </c>
      <c r="D47" t="s">
        <v>96</v>
      </c>
      <c r="E47" t="s">
        <v>97</v>
      </c>
      <c r="F47" t="s">
        <v>98</v>
      </c>
      <c r="G47" t="s">
        <v>99</v>
      </c>
    </row>
    <row r="48" spans="1:7">
      <c r="B48" t="s">
        <v>100</v>
      </c>
      <c r="C48" t="s">
        <v>101</v>
      </c>
      <c r="D48" t="s">
        <v>103</v>
      </c>
      <c r="E48" t="s">
        <v>102</v>
      </c>
      <c r="F48" t="s">
        <v>104</v>
      </c>
    </row>
    <row r="49" spans="1:8">
      <c r="B49" t="s">
        <v>105</v>
      </c>
      <c r="C49" t="s">
        <v>106</v>
      </c>
      <c r="D49" t="s">
        <v>107</v>
      </c>
    </row>
    <row r="52" spans="1:8" ht="21">
      <c r="A52" s="14" t="s">
        <v>75</v>
      </c>
    </row>
    <row r="53" spans="1:8">
      <c r="B53" s="6" t="s">
        <v>26</v>
      </c>
    </row>
    <row r="54" spans="1:8">
      <c r="B54" s="6"/>
    </row>
    <row r="55" spans="1:8">
      <c r="A55" t="s">
        <v>10</v>
      </c>
      <c r="B55" s="12" t="s">
        <v>43</v>
      </c>
      <c r="C55" t="s">
        <v>60</v>
      </c>
      <c r="D55" t="s">
        <v>37</v>
      </c>
      <c r="E55" t="s">
        <v>61</v>
      </c>
    </row>
    <row r="56" spans="1:8">
      <c r="B56" s="12" t="s">
        <v>23</v>
      </c>
      <c r="C56" t="s">
        <v>38</v>
      </c>
      <c r="D56" t="s">
        <v>39</v>
      </c>
      <c r="E56" t="s">
        <v>17</v>
      </c>
      <c r="F56" t="s">
        <v>40</v>
      </c>
      <c r="G56" t="s">
        <v>533</v>
      </c>
    </row>
    <row r="57" spans="1:8">
      <c r="B57" t="s">
        <v>36</v>
      </c>
      <c r="C57" t="s">
        <v>38</v>
      </c>
      <c r="D57" t="s">
        <v>39</v>
      </c>
      <c r="E57" t="s">
        <v>17</v>
      </c>
      <c r="F57" t="s">
        <v>40</v>
      </c>
    </row>
    <row r="58" spans="1:8">
      <c r="B58" t="s">
        <v>44</v>
      </c>
      <c r="C58" t="s">
        <v>45</v>
      </c>
      <c r="D58" t="s">
        <v>46</v>
      </c>
      <c r="E58" t="s">
        <v>290</v>
      </c>
      <c r="F58" t="s">
        <v>47</v>
      </c>
      <c r="G58" t="s">
        <v>533</v>
      </c>
    </row>
    <row r="59" spans="1:8">
      <c r="B59" t="s">
        <v>51</v>
      </c>
      <c r="C59" t="s">
        <v>45</v>
      </c>
      <c r="D59" t="s">
        <v>46</v>
      </c>
      <c r="E59" t="s">
        <v>290</v>
      </c>
      <c r="F59" t="s">
        <v>47</v>
      </c>
      <c r="G59" t="s">
        <v>533</v>
      </c>
    </row>
    <row r="60" spans="1:8">
      <c r="B60" t="s">
        <v>295</v>
      </c>
      <c r="C60" s="6" t="s">
        <v>296</v>
      </c>
      <c r="D60" t="s">
        <v>297</v>
      </c>
      <c r="E60" t="s">
        <v>298</v>
      </c>
      <c r="F60" t="s">
        <v>299</v>
      </c>
      <c r="G60" t="s">
        <v>300</v>
      </c>
      <c r="H60" t="s">
        <v>301</v>
      </c>
    </row>
    <row r="63" spans="1:8">
      <c r="B63" t="s">
        <v>27</v>
      </c>
    </row>
    <row r="64" spans="1:8">
      <c r="B64" t="s">
        <v>41</v>
      </c>
    </row>
    <row r="65" spans="1:7">
      <c r="A65" s="6" t="s">
        <v>291</v>
      </c>
      <c r="D65" s="6" t="s">
        <v>73</v>
      </c>
    </row>
    <row r="66" spans="1:7">
      <c r="A66" t="s">
        <v>970</v>
      </c>
      <c r="B66">
        <v>2</v>
      </c>
      <c r="D66" t="s">
        <v>979</v>
      </c>
      <c r="E66">
        <v>2</v>
      </c>
    </row>
    <row r="67" spans="1:7">
      <c r="A67" t="s">
        <v>973</v>
      </c>
      <c r="B67">
        <v>1.5</v>
      </c>
      <c r="D67" t="s">
        <v>973</v>
      </c>
      <c r="E67">
        <v>1.5</v>
      </c>
      <c r="G67" s="10"/>
    </row>
    <row r="68" spans="1:7">
      <c r="A68" t="s">
        <v>971</v>
      </c>
      <c r="B68">
        <v>1</v>
      </c>
      <c r="D68" t="s">
        <v>971</v>
      </c>
      <c r="E68">
        <v>1</v>
      </c>
    </row>
    <row r="69" spans="1:7">
      <c r="A69" t="s">
        <v>972</v>
      </c>
      <c r="B69">
        <v>0.5</v>
      </c>
      <c r="D69" t="s">
        <v>972</v>
      </c>
      <c r="E69">
        <v>0.5</v>
      </c>
    </row>
    <row r="70" spans="1:7">
      <c r="A70" t="s">
        <v>974</v>
      </c>
      <c r="B70">
        <v>0</v>
      </c>
      <c r="D70" t="s">
        <v>980</v>
      </c>
      <c r="E70">
        <v>0</v>
      </c>
    </row>
    <row r="72" spans="1:7">
      <c r="A72" s="6" t="s">
        <v>48</v>
      </c>
    </row>
    <row r="73" spans="1:7">
      <c r="A73" t="s">
        <v>38</v>
      </c>
      <c r="B73">
        <v>2</v>
      </c>
    </row>
    <row r="74" spans="1:7">
      <c r="A74" t="s">
        <v>39</v>
      </c>
      <c r="B74">
        <v>1</v>
      </c>
    </row>
    <row r="75" spans="1:7">
      <c r="A75" t="s">
        <v>17</v>
      </c>
      <c r="B75">
        <v>0</v>
      </c>
    </row>
    <row r="76" spans="1:7">
      <c r="A76" t="s">
        <v>534</v>
      </c>
      <c r="B76">
        <v>0.5</v>
      </c>
    </row>
    <row r="77" spans="1:7">
      <c r="A77" t="s">
        <v>533</v>
      </c>
      <c r="B77">
        <v>0</v>
      </c>
    </row>
    <row r="79" spans="1:7">
      <c r="A79" s="6" t="s">
        <v>49</v>
      </c>
      <c r="D79" s="6" t="s">
        <v>73</v>
      </c>
    </row>
    <row r="80" spans="1:7">
      <c r="A80" t="s">
        <v>983</v>
      </c>
      <c r="B80">
        <v>2</v>
      </c>
      <c r="D80" t="s">
        <v>573</v>
      </c>
      <c r="E80">
        <v>1.5</v>
      </c>
    </row>
    <row r="81" spans="1:5">
      <c r="A81" t="s">
        <v>984</v>
      </c>
      <c r="B81">
        <v>1.5</v>
      </c>
      <c r="D81" t="s">
        <v>574</v>
      </c>
      <c r="E81">
        <v>1</v>
      </c>
    </row>
    <row r="82" spans="1:5">
      <c r="A82" t="s">
        <v>985</v>
      </c>
      <c r="B82">
        <v>1</v>
      </c>
      <c r="D82" t="s">
        <v>575</v>
      </c>
      <c r="E82">
        <v>0.5</v>
      </c>
    </row>
    <row r="83" spans="1:5">
      <c r="A83" t="s">
        <v>986</v>
      </c>
      <c r="B83">
        <v>0</v>
      </c>
      <c r="D83" t="s">
        <v>576</v>
      </c>
      <c r="E83">
        <v>0</v>
      </c>
    </row>
    <row r="86" spans="1:5">
      <c r="A86" s="6" t="s">
        <v>50</v>
      </c>
    </row>
    <row r="87" spans="1:5">
      <c r="A87" t="s">
        <v>983</v>
      </c>
      <c r="B87">
        <v>3</v>
      </c>
    </row>
    <row r="88" spans="1:5">
      <c r="A88" t="s">
        <v>984</v>
      </c>
      <c r="B88">
        <v>2</v>
      </c>
    </row>
    <row r="89" spans="1:5">
      <c r="A89" t="s">
        <v>985</v>
      </c>
      <c r="B89">
        <v>1</v>
      </c>
    </row>
    <row r="90" spans="1:5">
      <c r="A90" t="s">
        <v>986</v>
      </c>
      <c r="B90">
        <v>0</v>
      </c>
    </row>
    <row r="93" spans="1:5">
      <c r="A93" t="s">
        <v>35</v>
      </c>
      <c r="B93" t="s">
        <v>65</v>
      </c>
      <c r="C93" t="s">
        <v>66</v>
      </c>
      <c r="D93" t="s">
        <v>67</v>
      </c>
    </row>
    <row r="94" spans="1:5">
      <c r="B94" t="s">
        <v>62</v>
      </c>
      <c r="C94" t="s">
        <v>63</v>
      </c>
      <c r="D94" t="s">
        <v>64</v>
      </c>
    </row>
    <row r="95" spans="1:5">
      <c r="B95" t="s">
        <v>42</v>
      </c>
      <c r="C95" t="s">
        <v>302</v>
      </c>
      <c r="D95" t="s">
        <v>303</v>
      </c>
      <c r="E95" t="s">
        <v>304</v>
      </c>
    </row>
    <row r="96" spans="1:5">
      <c r="B96" t="s">
        <v>25</v>
      </c>
      <c r="C96" t="s">
        <v>305</v>
      </c>
      <c r="D96" t="s">
        <v>307</v>
      </c>
      <c r="E96" t="s">
        <v>306</v>
      </c>
    </row>
    <row r="97" spans="1:7">
      <c r="B97" t="s">
        <v>28</v>
      </c>
      <c r="C97" t="s">
        <v>29</v>
      </c>
      <c r="D97" t="s">
        <v>30</v>
      </c>
      <c r="E97" t="s">
        <v>31</v>
      </c>
      <c r="F97" t="s">
        <v>384</v>
      </c>
    </row>
    <row r="98" spans="1:7">
      <c r="B98" t="s">
        <v>32</v>
      </c>
      <c r="C98" t="s">
        <v>309</v>
      </c>
      <c r="D98" t="s">
        <v>33</v>
      </c>
      <c r="E98" t="s">
        <v>34</v>
      </c>
      <c r="F98" t="s">
        <v>384</v>
      </c>
    </row>
    <row r="100" spans="1:7">
      <c r="B100" s="6" t="s">
        <v>27</v>
      </c>
    </row>
    <row r="101" spans="1:7">
      <c r="B101" t="s">
        <v>308</v>
      </c>
      <c r="C101" s="9">
        <v>4</v>
      </c>
      <c r="D101" s="9">
        <v>3</v>
      </c>
      <c r="E101" s="9">
        <v>2</v>
      </c>
      <c r="F101" s="9">
        <v>1</v>
      </c>
      <c r="G101" s="9">
        <v>0</v>
      </c>
    </row>
    <row r="102" spans="1:7">
      <c r="A102">
        <v>0</v>
      </c>
      <c r="B102" s="10">
        <v>0</v>
      </c>
      <c r="D102">
        <v>0</v>
      </c>
      <c r="E102" s="10">
        <v>0</v>
      </c>
      <c r="F102" s="9"/>
      <c r="G102" s="9"/>
    </row>
    <row r="103" spans="1:7">
      <c r="A103">
        <v>1</v>
      </c>
      <c r="B103" s="11">
        <v>0.5</v>
      </c>
      <c r="D103">
        <v>1</v>
      </c>
      <c r="E103" s="11">
        <v>0.5</v>
      </c>
      <c r="F103" s="8"/>
      <c r="G103" s="8"/>
    </row>
    <row r="104" spans="1:7">
      <c r="A104">
        <v>2</v>
      </c>
      <c r="B104" s="10">
        <v>1</v>
      </c>
      <c r="D104">
        <v>2</v>
      </c>
      <c r="E104" s="10">
        <v>1</v>
      </c>
      <c r="F104" s="8"/>
      <c r="G104" s="8"/>
    </row>
    <row r="105" spans="1:7">
      <c r="A105">
        <v>3</v>
      </c>
      <c r="B105" s="11">
        <v>1.5</v>
      </c>
      <c r="D105">
        <v>3</v>
      </c>
      <c r="E105" s="11">
        <v>1.5</v>
      </c>
    </row>
    <row r="106" spans="1:7">
      <c r="A106">
        <v>4</v>
      </c>
      <c r="B106" s="11">
        <v>2</v>
      </c>
      <c r="D106">
        <v>4</v>
      </c>
      <c r="E106" s="11">
        <v>1.5</v>
      </c>
    </row>
    <row r="107" spans="1:7">
      <c r="B107" s="10"/>
    </row>
    <row r="108" spans="1:7">
      <c r="A108" t="s">
        <v>13</v>
      </c>
      <c r="B108" s="10" t="s">
        <v>52</v>
      </c>
      <c r="C108" t="s">
        <v>53</v>
      </c>
      <c r="D108" t="s">
        <v>71</v>
      </c>
      <c r="E108" t="s">
        <v>54</v>
      </c>
    </row>
    <row r="109" spans="1:7">
      <c r="B109" s="10" t="s">
        <v>70</v>
      </c>
      <c r="C109" t="s">
        <v>68</v>
      </c>
      <c r="D109" t="s">
        <v>69</v>
      </c>
    </row>
    <row r="110" spans="1:7">
      <c r="B110" s="10" t="s">
        <v>292</v>
      </c>
      <c r="C110" s="6" t="s">
        <v>85</v>
      </c>
      <c r="D110" t="s">
        <v>372</v>
      </c>
      <c r="E110" t="s">
        <v>293</v>
      </c>
      <c r="F110" t="s">
        <v>294</v>
      </c>
    </row>
    <row r="111" spans="1:7">
      <c r="B111" s="10" t="s">
        <v>358</v>
      </c>
      <c r="C111" s="6" t="s">
        <v>215</v>
      </c>
      <c r="D111" t="s">
        <v>360</v>
      </c>
      <c r="E111" t="s">
        <v>359</v>
      </c>
    </row>
    <row r="112" spans="1:7">
      <c r="B112" s="10"/>
    </row>
    <row r="113" spans="1:9">
      <c r="B113" s="10"/>
    </row>
    <row r="114" spans="1:9">
      <c r="A114" t="s">
        <v>7</v>
      </c>
      <c r="B114" t="s">
        <v>55</v>
      </c>
      <c r="C114" t="s">
        <v>310</v>
      </c>
      <c r="D114" t="s">
        <v>311</v>
      </c>
    </row>
    <row r="115" spans="1:9">
      <c r="A115" s="10" t="s">
        <v>56</v>
      </c>
      <c r="B115" s="10">
        <v>6</v>
      </c>
      <c r="C115" s="10">
        <v>5</v>
      </c>
      <c r="D115" s="10">
        <v>4</v>
      </c>
      <c r="E115" s="10">
        <v>3</v>
      </c>
      <c r="F115" s="10">
        <v>2</v>
      </c>
      <c r="G115" s="10">
        <v>1</v>
      </c>
      <c r="H115" s="10">
        <v>0</v>
      </c>
    </row>
    <row r="116" spans="1:9">
      <c r="B116" s="10"/>
      <c r="C116" s="8"/>
      <c r="D116" s="8"/>
      <c r="E116" s="8"/>
      <c r="F116" s="8"/>
      <c r="G116" s="8"/>
      <c r="H116" s="8"/>
      <c r="I116" s="8"/>
    </row>
    <row r="117" spans="1:9">
      <c r="B117" s="13" t="s">
        <v>27</v>
      </c>
      <c r="C117" s="8"/>
      <c r="D117" s="8"/>
      <c r="E117" s="8"/>
      <c r="F117" s="8"/>
      <c r="G117" s="8"/>
      <c r="H117" s="8"/>
      <c r="I117" s="8"/>
    </row>
    <row r="118" spans="1:9">
      <c r="A118" s="9" t="s">
        <v>559</v>
      </c>
      <c r="B118" s="9">
        <v>3</v>
      </c>
    </row>
    <row r="119" spans="1:9">
      <c r="A119" s="9">
        <v>5</v>
      </c>
      <c r="B119" s="9">
        <v>2.5</v>
      </c>
    </row>
    <row r="120" spans="1:9">
      <c r="A120" s="9">
        <v>4</v>
      </c>
      <c r="B120" s="9">
        <v>2</v>
      </c>
    </row>
    <row r="121" spans="1:9">
      <c r="A121" s="9">
        <v>3</v>
      </c>
      <c r="B121" s="9">
        <v>1.5</v>
      </c>
    </row>
    <row r="122" spans="1:9">
      <c r="A122" s="9">
        <v>2</v>
      </c>
      <c r="B122" s="9">
        <v>1</v>
      </c>
    </row>
    <row r="123" spans="1:9">
      <c r="A123" s="9">
        <v>1</v>
      </c>
      <c r="B123" s="9">
        <v>0.5</v>
      </c>
    </row>
    <row r="124" spans="1:9">
      <c r="A124" s="9">
        <v>0</v>
      </c>
      <c r="B124" s="9">
        <v>0</v>
      </c>
    </row>
    <row r="125" spans="1:9">
      <c r="A125" s="9"/>
      <c r="B125" s="9"/>
    </row>
    <row r="126" spans="1:9">
      <c r="A126" s="9"/>
      <c r="B126" s="9"/>
    </row>
    <row r="127" spans="1:9">
      <c r="A127" s="9" t="s">
        <v>8</v>
      </c>
      <c r="B127" s="9" t="s">
        <v>409</v>
      </c>
      <c r="C127" t="s">
        <v>312</v>
      </c>
      <c r="D127" t="s">
        <v>313</v>
      </c>
      <c r="E127" t="s">
        <v>314</v>
      </c>
      <c r="F127" t="s">
        <v>315</v>
      </c>
    </row>
    <row r="128" spans="1:9">
      <c r="A128" s="9"/>
      <c r="B128" s="9" t="s">
        <v>72</v>
      </c>
      <c r="C128" t="s">
        <v>407</v>
      </c>
      <c r="D128" t="s">
        <v>408</v>
      </c>
      <c r="E128" t="s">
        <v>410</v>
      </c>
    </row>
    <row r="129" spans="1:5">
      <c r="A129" s="9"/>
      <c r="B129" s="9"/>
    </row>
    <row r="130" spans="1:5">
      <c r="A130" s="9"/>
      <c r="B130" s="9"/>
    </row>
    <row r="131" spans="1:5" ht="21">
      <c r="A131" s="14" t="s">
        <v>113</v>
      </c>
      <c r="B131" s="9"/>
    </row>
    <row r="132" spans="1:5">
      <c r="A132" s="9"/>
      <c r="B132" s="9"/>
    </row>
    <row r="133" spans="1:5">
      <c r="A133" s="9"/>
      <c r="B133" s="9" t="s">
        <v>11</v>
      </c>
    </row>
    <row r="134" spans="1:5">
      <c r="A134" s="9" t="s">
        <v>10</v>
      </c>
      <c r="B134" s="9" t="s">
        <v>86</v>
      </c>
      <c r="C134" t="s">
        <v>114</v>
      </c>
      <c r="D134" t="s">
        <v>115</v>
      </c>
    </row>
    <row r="135" spans="1:5">
      <c r="A135" s="9"/>
      <c r="B135" s="9" t="s">
        <v>116</v>
      </c>
      <c r="C135" t="s">
        <v>316</v>
      </c>
      <c r="D135" t="s">
        <v>317</v>
      </c>
    </row>
    <row r="136" spans="1:5">
      <c r="A136" s="9"/>
      <c r="B136" s="9" t="s">
        <v>117</v>
      </c>
      <c r="C136" t="s">
        <v>318</v>
      </c>
      <c r="D136" t="s">
        <v>319</v>
      </c>
    </row>
    <row r="137" spans="1:5">
      <c r="A137" s="9"/>
      <c r="B137" s="9" t="s">
        <v>118</v>
      </c>
      <c r="C137" t="s">
        <v>320</v>
      </c>
      <c r="D137" t="s">
        <v>321</v>
      </c>
    </row>
    <row r="138" spans="1:5">
      <c r="A138" s="9"/>
      <c r="B138" s="9" t="s">
        <v>119</v>
      </c>
      <c r="C138" t="s">
        <v>120</v>
      </c>
      <c r="D138" t="s">
        <v>121</v>
      </c>
    </row>
    <row r="139" spans="1:5">
      <c r="A139" s="9"/>
      <c r="B139" s="9"/>
    </row>
    <row r="140" spans="1:5">
      <c r="A140" s="9"/>
      <c r="B140" s="9"/>
    </row>
    <row r="141" spans="1:5">
      <c r="A141" t="s">
        <v>35</v>
      </c>
      <c r="B141" s="9" t="s">
        <v>122</v>
      </c>
      <c r="C141" t="s">
        <v>322</v>
      </c>
      <c r="D141" t="s">
        <v>323</v>
      </c>
      <c r="E141" t="s">
        <v>324</v>
      </c>
    </row>
    <row r="142" spans="1:5">
      <c r="A142" s="9"/>
      <c r="B142" s="9" t="s">
        <v>123</v>
      </c>
      <c r="C142" t="s">
        <v>124</v>
      </c>
      <c r="D142" t="s">
        <v>373</v>
      </c>
      <c r="E142" t="s">
        <v>374</v>
      </c>
    </row>
    <row r="143" spans="1:5">
      <c r="A143" s="9"/>
      <c r="B143" s="9" t="s">
        <v>24</v>
      </c>
      <c r="C143" t="s">
        <v>375</v>
      </c>
      <c r="D143" t="s">
        <v>376</v>
      </c>
    </row>
    <row r="144" spans="1:5">
      <c r="A144" s="9"/>
      <c r="B144" s="9"/>
    </row>
    <row r="145" spans="1:7">
      <c r="A145" s="9"/>
      <c r="B145" s="9"/>
    </row>
    <row r="146" spans="1:7">
      <c r="A146" t="s">
        <v>13</v>
      </c>
      <c r="B146" s="9" t="s">
        <v>105</v>
      </c>
      <c r="C146" t="s">
        <v>149</v>
      </c>
      <c r="D146" t="s">
        <v>326</v>
      </c>
      <c r="E146" t="s">
        <v>325</v>
      </c>
    </row>
    <row r="147" spans="1:7">
      <c r="B147" s="9" t="s">
        <v>292</v>
      </c>
      <c r="C147" s="6" t="s">
        <v>327</v>
      </c>
      <c r="D147" t="s">
        <v>328</v>
      </c>
      <c r="E147" t="s">
        <v>329</v>
      </c>
    </row>
    <row r="148" spans="1:7">
      <c r="A148" s="9"/>
      <c r="B148" s="9" t="s">
        <v>125</v>
      </c>
      <c r="C148" t="s">
        <v>126</v>
      </c>
      <c r="D148" t="s">
        <v>127</v>
      </c>
    </row>
    <row r="149" spans="1:7">
      <c r="A149" s="9"/>
      <c r="B149" s="9" t="s">
        <v>128</v>
      </c>
      <c r="C149" t="s">
        <v>129</v>
      </c>
      <c r="D149" t="s">
        <v>130</v>
      </c>
    </row>
    <row r="150" spans="1:7">
      <c r="A150" s="9"/>
      <c r="B150" s="9" t="s">
        <v>131</v>
      </c>
      <c r="C150" t="s">
        <v>367</v>
      </c>
      <c r="D150" t="s">
        <v>366</v>
      </c>
      <c r="E150" t="s">
        <v>368</v>
      </c>
    </row>
    <row r="151" spans="1:7">
      <c r="A151" s="9"/>
      <c r="B151" s="9" t="s">
        <v>132</v>
      </c>
      <c r="C151" t="s">
        <v>133</v>
      </c>
      <c r="D151" t="s">
        <v>369</v>
      </c>
      <c r="E151" t="s">
        <v>134</v>
      </c>
    </row>
    <row r="152" spans="1:7">
      <c r="A152" s="9"/>
      <c r="B152" s="9"/>
    </row>
    <row r="153" spans="1:7">
      <c r="A153" s="9" t="s">
        <v>7</v>
      </c>
      <c r="B153" s="9" t="s">
        <v>135</v>
      </c>
      <c r="C153" t="s">
        <v>136</v>
      </c>
      <c r="D153" t="s">
        <v>137</v>
      </c>
    </row>
    <row r="154" spans="1:7">
      <c r="A154" s="9"/>
      <c r="B154" s="9" t="s">
        <v>156</v>
      </c>
      <c r="C154" t="s">
        <v>157</v>
      </c>
      <c r="D154" t="s">
        <v>158</v>
      </c>
      <c r="E154" t="s">
        <v>159</v>
      </c>
      <c r="F154" t="s">
        <v>160</v>
      </c>
      <c r="G154" t="s">
        <v>161</v>
      </c>
    </row>
    <row r="155" spans="1:7">
      <c r="A155" s="9"/>
      <c r="B155" s="9"/>
    </row>
    <row r="156" spans="1:7">
      <c r="A156" s="9"/>
      <c r="B156" s="9" t="s">
        <v>152</v>
      </c>
    </row>
    <row r="157" spans="1:7">
      <c r="A157" s="16" t="s">
        <v>150</v>
      </c>
      <c r="B157" s="9"/>
      <c r="D157" s="6" t="s">
        <v>151</v>
      </c>
    </row>
    <row r="158" spans="1:7">
      <c r="A158" s="9" t="s">
        <v>454</v>
      </c>
      <c r="B158" s="9">
        <v>4</v>
      </c>
      <c r="D158" s="9" t="s">
        <v>454</v>
      </c>
      <c r="E158">
        <v>2</v>
      </c>
    </row>
    <row r="159" spans="1:7">
      <c r="A159" s="9" t="s">
        <v>955</v>
      </c>
      <c r="B159" s="9">
        <v>3.5</v>
      </c>
      <c r="D159" s="9" t="s">
        <v>907</v>
      </c>
      <c r="E159">
        <v>1.5</v>
      </c>
    </row>
    <row r="160" spans="1:7">
      <c r="A160" s="9" t="s">
        <v>956</v>
      </c>
      <c r="B160" s="9">
        <v>3</v>
      </c>
      <c r="D160" s="9" t="s">
        <v>908</v>
      </c>
      <c r="E160">
        <v>1</v>
      </c>
    </row>
    <row r="161" spans="1:5">
      <c r="A161" s="9" t="s">
        <v>957</v>
      </c>
      <c r="B161" s="9">
        <v>2.5</v>
      </c>
      <c r="D161" s="9" t="s">
        <v>911</v>
      </c>
      <c r="E161">
        <v>0.5</v>
      </c>
    </row>
    <row r="162" spans="1:5">
      <c r="A162" s="9" t="s">
        <v>958</v>
      </c>
      <c r="B162" s="9">
        <v>2</v>
      </c>
      <c r="D162" s="9" t="s">
        <v>569</v>
      </c>
      <c r="E162">
        <v>0</v>
      </c>
    </row>
    <row r="163" spans="1:5">
      <c r="A163" s="9" t="s">
        <v>959</v>
      </c>
      <c r="B163" s="9">
        <v>1.5</v>
      </c>
    </row>
    <row r="164" spans="1:5">
      <c r="A164" s="9" t="s">
        <v>960</v>
      </c>
      <c r="B164" s="9">
        <v>1</v>
      </c>
    </row>
    <row r="165" spans="1:5">
      <c r="A165" s="9" t="s">
        <v>455</v>
      </c>
      <c r="B165" s="9">
        <v>0</v>
      </c>
    </row>
    <row r="166" spans="1:5">
      <c r="A166" s="9"/>
      <c r="B166" s="9"/>
      <c r="D166" s="9"/>
    </row>
    <row r="167" spans="1:5">
      <c r="A167" s="9"/>
      <c r="B167" s="9" t="s">
        <v>153</v>
      </c>
      <c r="D167" s="9"/>
    </row>
    <row r="168" spans="1:5">
      <c r="A168" s="16" t="s">
        <v>155</v>
      </c>
      <c r="B168" s="9"/>
      <c r="D168" s="16" t="s">
        <v>155</v>
      </c>
      <c r="E168" s="9"/>
    </row>
    <row r="169" spans="1:5">
      <c r="A169" s="9" t="s">
        <v>154</v>
      </c>
      <c r="B169" s="9">
        <v>2</v>
      </c>
      <c r="D169" s="9" t="s">
        <v>154</v>
      </c>
      <c r="E169">
        <v>1</v>
      </c>
    </row>
    <row r="170" spans="1:5">
      <c r="A170" s="9" t="s">
        <v>456</v>
      </c>
      <c r="B170" s="9">
        <v>1.5</v>
      </c>
      <c r="D170" s="9" t="s">
        <v>456</v>
      </c>
      <c r="E170">
        <v>0.5</v>
      </c>
    </row>
    <row r="171" spans="1:5">
      <c r="A171" s="9" t="s">
        <v>457</v>
      </c>
      <c r="B171" s="9">
        <v>1</v>
      </c>
      <c r="D171" s="9" t="s">
        <v>457</v>
      </c>
      <c r="E171">
        <v>0.5</v>
      </c>
    </row>
    <row r="172" spans="1:5">
      <c r="A172" s="9" t="s">
        <v>458</v>
      </c>
      <c r="B172" s="9">
        <v>0.5</v>
      </c>
      <c r="D172" s="9" t="s">
        <v>458</v>
      </c>
      <c r="E172">
        <v>0.5</v>
      </c>
    </row>
    <row r="173" spans="1:5">
      <c r="A173" s="9" t="s">
        <v>459</v>
      </c>
      <c r="B173" s="9">
        <v>0</v>
      </c>
      <c r="D173" s="9" t="s">
        <v>459</v>
      </c>
      <c r="E173">
        <v>0</v>
      </c>
    </row>
    <row r="174" spans="1:5">
      <c r="A174" s="9"/>
      <c r="B174" s="9"/>
      <c r="D174" s="9"/>
    </row>
    <row r="175" spans="1:5">
      <c r="A175" s="9"/>
      <c r="B175" s="9"/>
      <c r="D175" s="9"/>
    </row>
    <row r="176" spans="1:5">
      <c r="A176" s="9"/>
      <c r="B176" s="9"/>
      <c r="D176" s="9"/>
    </row>
    <row r="177" spans="1:8">
      <c r="A177" s="9"/>
      <c r="B177" s="9"/>
      <c r="D177" s="9"/>
    </row>
    <row r="178" spans="1:8">
      <c r="B178" s="10"/>
    </row>
    <row r="179" spans="1:8">
      <c r="A179" t="s">
        <v>8</v>
      </c>
      <c r="B179" s="10" t="s">
        <v>72</v>
      </c>
      <c r="C179" t="s">
        <v>138</v>
      </c>
      <c r="D179" t="s">
        <v>139</v>
      </c>
      <c r="E179" t="s">
        <v>140</v>
      </c>
      <c r="F179" t="s">
        <v>141</v>
      </c>
      <c r="G179" t="s">
        <v>142</v>
      </c>
    </row>
    <row r="180" spans="1:8">
      <c r="B180" s="10" t="s">
        <v>145</v>
      </c>
      <c r="C180" t="s">
        <v>143</v>
      </c>
      <c r="D180" t="s">
        <v>144</v>
      </c>
      <c r="E180" t="s">
        <v>162</v>
      </c>
    </row>
    <row r="181" spans="1:8">
      <c r="B181" s="10" t="s">
        <v>146</v>
      </c>
      <c r="C181" t="s">
        <v>147</v>
      </c>
      <c r="D181" t="s">
        <v>148</v>
      </c>
      <c r="E181" t="s">
        <v>162</v>
      </c>
    </row>
    <row r="182" spans="1:8">
      <c r="B182" s="10"/>
    </row>
    <row r="183" spans="1:8">
      <c r="A183" t="s">
        <v>382</v>
      </c>
      <c r="B183" s="10" t="e">
        <f>'Energy and water utilities'!#REF!+'Energy and water utilities'!#REF!+'Energy and water utilities'!#REF!</f>
        <v>#REF!</v>
      </c>
    </row>
    <row r="184" spans="1:8">
      <c r="A184" t="s">
        <v>383</v>
      </c>
      <c r="B184" s="10" t="e">
        <f>IF(AND(ISBLANK('Energy and water utilities'!E45),ISBLANK('Energy and water utilities'!E41)),0,'Energy and water utilities'!E45+'Energy and water utilities'!E41)</f>
        <v>#VALUE!</v>
      </c>
    </row>
    <row r="185" spans="1:8">
      <c r="B185" s="11" t="b">
        <f>IF('Energy and water utilities'!D12="Municipally Owned Utility",SUM('Energy and water utilities'!#REF!),IF('Energy and water utilities'!D12="Investor Owned Utility",SUM('Energy and water utilities'!E41:E45)))</f>
        <v>0</v>
      </c>
    </row>
    <row r="186" spans="1:8" ht="21">
      <c r="A186" s="14" t="s">
        <v>6</v>
      </c>
      <c r="B186" s="10"/>
    </row>
    <row r="187" spans="1:8">
      <c r="B187" s="10"/>
    </row>
    <row r="188" spans="1:8">
      <c r="B188" s="10" t="s">
        <v>26</v>
      </c>
    </row>
    <row r="189" spans="1:8">
      <c r="A189" t="s">
        <v>218</v>
      </c>
      <c r="B189" s="10" t="s">
        <v>219</v>
      </c>
      <c r="C189" s="6" t="s">
        <v>217</v>
      </c>
      <c r="D189" t="s">
        <v>220</v>
      </c>
      <c r="E189" t="s">
        <v>221</v>
      </c>
      <c r="F189" t="s">
        <v>222</v>
      </c>
      <c r="G189" t="s">
        <v>223</v>
      </c>
      <c r="H189" t="s">
        <v>224</v>
      </c>
    </row>
    <row r="190" spans="1:8">
      <c r="B190" s="10" t="s">
        <v>225</v>
      </c>
      <c r="C190" s="6" t="s">
        <v>226</v>
      </c>
      <c r="D190" t="s">
        <v>338</v>
      </c>
      <c r="E190" t="s">
        <v>339</v>
      </c>
      <c r="F190" t="s">
        <v>340</v>
      </c>
    </row>
    <row r="191" spans="1:8">
      <c r="B191" s="10" t="s">
        <v>227</v>
      </c>
      <c r="C191" s="6" t="s">
        <v>228</v>
      </c>
      <c r="D191" t="s">
        <v>341</v>
      </c>
      <c r="E191" t="s">
        <v>342</v>
      </c>
      <c r="F191" t="s">
        <v>343</v>
      </c>
    </row>
    <row r="192" spans="1:8">
      <c r="B192" s="10" t="s">
        <v>229</v>
      </c>
      <c r="C192" s="6" t="s">
        <v>230</v>
      </c>
      <c r="D192" t="s">
        <v>231</v>
      </c>
      <c r="E192" t="s">
        <v>232</v>
      </c>
      <c r="F192" t="s">
        <v>233</v>
      </c>
      <c r="G192" t="s">
        <v>234</v>
      </c>
      <c r="H192" t="s">
        <v>235</v>
      </c>
    </row>
    <row r="193" spans="1:8">
      <c r="B193" s="10" t="s">
        <v>237</v>
      </c>
      <c r="C193" s="6" t="s">
        <v>236</v>
      </c>
      <c r="D193" t="s">
        <v>238</v>
      </c>
      <c r="E193" t="s">
        <v>239</v>
      </c>
      <c r="F193" t="s">
        <v>240</v>
      </c>
    </row>
    <row r="194" spans="1:8">
      <c r="B194" s="10"/>
      <c r="C194" s="6"/>
    </row>
    <row r="195" spans="1:8">
      <c r="B195" s="10"/>
      <c r="C195" s="6"/>
    </row>
    <row r="196" spans="1:8">
      <c r="A196" t="s">
        <v>35</v>
      </c>
      <c r="B196" s="10" t="s">
        <v>241</v>
      </c>
      <c r="C196" s="6" t="s">
        <v>242</v>
      </c>
      <c r="D196" t="s">
        <v>243</v>
      </c>
      <c r="E196" t="s">
        <v>244</v>
      </c>
    </row>
    <row r="197" spans="1:8">
      <c r="B197" s="10" t="s">
        <v>246</v>
      </c>
      <c r="C197" s="6" t="s">
        <v>245</v>
      </c>
      <c r="D197" t="s">
        <v>344</v>
      </c>
      <c r="E197" t="s">
        <v>247</v>
      </c>
      <c r="F197" t="s">
        <v>248</v>
      </c>
      <c r="G197" t="s">
        <v>249</v>
      </c>
      <c r="H197" t="s">
        <v>250</v>
      </c>
    </row>
    <row r="198" spans="1:8">
      <c r="B198" s="10"/>
      <c r="C198" s="6"/>
    </row>
    <row r="199" spans="1:8">
      <c r="A199" t="s">
        <v>13</v>
      </c>
      <c r="B199" s="10" t="s">
        <v>255</v>
      </c>
      <c r="C199" s="6" t="s">
        <v>252</v>
      </c>
      <c r="D199" t="s">
        <v>253</v>
      </c>
      <c r="E199" t="s">
        <v>377</v>
      </c>
      <c r="F199" t="s">
        <v>254</v>
      </c>
    </row>
    <row r="200" spans="1:8">
      <c r="B200" s="10" t="s">
        <v>251</v>
      </c>
      <c r="C200" s="6" t="s">
        <v>256</v>
      </c>
      <c r="D200" t="s">
        <v>257</v>
      </c>
      <c r="E200" t="s">
        <v>258</v>
      </c>
      <c r="F200" t="s">
        <v>346</v>
      </c>
    </row>
    <row r="201" spans="1:8">
      <c r="B201" s="10" t="s">
        <v>347</v>
      </c>
      <c r="C201" s="6" t="s">
        <v>348</v>
      </c>
      <c r="D201" t="s">
        <v>349</v>
      </c>
      <c r="E201" t="s">
        <v>350</v>
      </c>
      <c r="F201" t="s">
        <v>351</v>
      </c>
    </row>
    <row r="202" spans="1:8">
      <c r="A202" s="10"/>
      <c r="B202" s="10" t="s">
        <v>260</v>
      </c>
      <c r="C202" s="6" t="s">
        <v>261</v>
      </c>
      <c r="D202" t="s">
        <v>262</v>
      </c>
      <c r="E202" t="s">
        <v>263</v>
      </c>
      <c r="F202" t="s">
        <v>264</v>
      </c>
      <c r="G202" t="s">
        <v>265</v>
      </c>
      <c r="H202" t="s">
        <v>266</v>
      </c>
    </row>
    <row r="203" spans="1:8">
      <c r="A203" s="10"/>
      <c r="B203" s="10" t="s">
        <v>352</v>
      </c>
      <c r="C203" s="6" t="s">
        <v>267</v>
      </c>
      <c r="D203" s="21" t="s">
        <v>353</v>
      </c>
      <c r="E203" s="21" t="s">
        <v>354</v>
      </c>
      <c r="F203" s="21" t="s">
        <v>355</v>
      </c>
      <c r="G203" s="21" t="s">
        <v>356</v>
      </c>
      <c r="H203" s="21" t="s">
        <v>357</v>
      </c>
    </row>
    <row r="204" spans="1:8">
      <c r="B204" s="10"/>
      <c r="C204" s="6"/>
    </row>
    <row r="205" spans="1:8">
      <c r="A205" t="s">
        <v>7</v>
      </c>
      <c r="B205" s="10" t="s">
        <v>268</v>
      </c>
      <c r="C205" s="6" t="s">
        <v>269</v>
      </c>
      <c r="D205">
        <v>3</v>
      </c>
      <c r="E205">
        <v>2</v>
      </c>
      <c r="F205">
        <v>1</v>
      </c>
      <c r="G205">
        <v>0</v>
      </c>
    </row>
    <row r="206" spans="1:8">
      <c r="B206" s="10" t="s">
        <v>270</v>
      </c>
      <c r="C206" s="6" t="s">
        <v>271</v>
      </c>
      <c r="D206" t="s">
        <v>272</v>
      </c>
      <c r="E206" t="s">
        <v>273</v>
      </c>
    </row>
    <row r="207" spans="1:8">
      <c r="B207" s="10" t="s">
        <v>274</v>
      </c>
      <c r="C207" s="6" t="s">
        <v>275</v>
      </c>
      <c r="D207" t="s">
        <v>276</v>
      </c>
      <c r="E207" t="s">
        <v>277</v>
      </c>
    </row>
    <row r="208" spans="1:8">
      <c r="B208" s="10" t="s">
        <v>361</v>
      </c>
      <c r="C208" s="6" t="s">
        <v>362</v>
      </c>
      <c r="D208" t="s">
        <v>363</v>
      </c>
      <c r="E208" t="s">
        <v>365</v>
      </c>
      <c r="F208" t="s">
        <v>364</v>
      </c>
    </row>
    <row r="209" spans="1:6">
      <c r="B209" s="10"/>
      <c r="C209" s="6"/>
    </row>
    <row r="210" spans="1:6">
      <c r="A210">
        <v>3</v>
      </c>
      <c r="B210" s="11">
        <v>1.5</v>
      </c>
      <c r="C210" s="6"/>
    </row>
    <row r="211" spans="1:6">
      <c r="A211">
        <v>2</v>
      </c>
      <c r="B211" s="10">
        <v>1</v>
      </c>
      <c r="C211" s="6"/>
    </row>
    <row r="212" spans="1:6">
      <c r="A212">
        <v>1</v>
      </c>
      <c r="B212" s="11">
        <v>0.5</v>
      </c>
      <c r="C212" s="6"/>
    </row>
    <row r="213" spans="1:6">
      <c r="A213">
        <v>0</v>
      </c>
      <c r="B213" s="10">
        <v>0</v>
      </c>
      <c r="C213" s="6"/>
    </row>
    <row r="214" spans="1:6">
      <c r="B214" s="10"/>
      <c r="C214" s="6"/>
    </row>
    <row r="215" spans="1:6">
      <c r="B215" s="10"/>
      <c r="C215" s="6"/>
    </row>
    <row r="216" spans="1:6">
      <c r="C216" s="6"/>
    </row>
    <row r="217" spans="1:6">
      <c r="A217" t="s">
        <v>8</v>
      </c>
      <c r="B217" s="10" t="s">
        <v>279</v>
      </c>
      <c r="C217" s="6" t="s">
        <v>278</v>
      </c>
      <c r="D217" t="s">
        <v>378</v>
      </c>
      <c r="E217" t="s">
        <v>345</v>
      </c>
      <c r="F217" t="s">
        <v>280</v>
      </c>
    </row>
    <row r="219" spans="1:6" ht="21">
      <c r="A219" s="14" t="s">
        <v>76</v>
      </c>
    </row>
    <row r="220" spans="1:6" ht="15.2" customHeight="1">
      <c r="A220" s="14"/>
    </row>
    <row r="221" spans="1:6">
      <c r="A221" t="s">
        <v>22</v>
      </c>
      <c r="B221" t="s">
        <v>21</v>
      </c>
    </row>
    <row r="222" spans="1:6">
      <c r="A222" t="e">
        <f>#REF!</f>
        <v>#REF!</v>
      </c>
      <c r="B222" t="s">
        <v>6</v>
      </c>
    </row>
    <row r="223" spans="1:6">
      <c r="A223" t="e">
        <f>#REF!</f>
        <v>#REF!</v>
      </c>
      <c r="B223" t="s">
        <v>19</v>
      </c>
    </row>
    <row r="224" spans="1:6">
      <c r="A224" t="e">
        <f>#REF!</f>
        <v>#REF!</v>
      </c>
      <c r="B224" t="s">
        <v>5</v>
      </c>
    </row>
    <row r="225" spans="1:7">
      <c r="A225" s="10" t="e">
        <f>#REF!</f>
        <v>#REF!</v>
      </c>
      <c r="B225" t="s">
        <v>16</v>
      </c>
    </row>
    <row r="226" spans="1:7">
      <c r="A226" t="e">
        <f>#REF!</f>
        <v>#REF!</v>
      </c>
      <c r="B226" t="s">
        <v>4</v>
      </c>
    </row>
    <row r="229" spans="1:7">
      <c r="A229" t="s">
        <v>0</v>
      </c>
      <c r="B229" t="s">
        <v>18</v>
      </c>
      <c r="C229" t="s">
        <v>16</v>
      </c>
      <c r="D229" t="s">
        <v>19</v>
      </c>
      <c r="E229" t="s">
        <v>20</v>
      </c>
      <c r="F229" t="s">
        <v>5</v>
      </c>
      <c r="G229" t="s">
        <v>6</v>
      </c>
    </row>
    <row r="233" spans="1:7">
      <c r="A233">
        <v>30</v>
      </c>
      <c r="B233" t="s">
        <v>15</v>
      </c>
    </row>
  </sheetData>
  <sortState ref="A100:G104">
    <sortCondition ref="C99"/>
  </sortState>
  <customSheetViews>
    <customSheetView guid="{52A26A5D-FD00-480B-943F-DB06B537D6D8}" state="hidden">
      <selection activeCell="C20" sqref="C20"/>
      <pageMargins left="0.7" right="0.7" top="0.75" bottom="0.75" header="0.3" footer="0.3"/>
      <pageSetup orientation="portrait" r:id="rId1"/>
    </customSheetView>
    <customSheetView guid="{EF22FA0B-F747-41C1-93DE-56651BBC6020}" state="hidden" topLeftCell="A91">
      <selection activeCell="F162" sqref="F162"/>
      <pageMargins left="0.7" right="0.7" top="0.75" bottom="0.75" header="0.3" footer="0.3"/>
      <pageSetup orientation="portrait" r:id="rId2"/>
    </customSheetView>
  </customSheetViews>
  <pageMargins left="0.7" right="0.7" top="0.75" bottom="0.75" header="0.3" footer="0.3"/>
  <pageSetup orientation="portrait"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outlinePr summaryBelow="0" summaryRight="0"/>
  </sheetPr>
  <dimension ref="A1:Z138"/>
  <sheetViews>
    <sheetView zoomScale="80" zoomScaleNormal="80" workbookViewId="0">
      <selection activeCell="D24" sqref="D24"/>
    </sheetView>
  </sheetViews>
  <sheetFormatPr defaultColWidth="9.140625" defaultRowHeight="15" outlineLevelRow="1"/>
  <cols>
    <col min="1" max="1" width="57.42578125" style="2" customWidth="1"/>
    <col min="2" max="2" width="50.5703125" style="2" customWidth="1"/>
    <col min="3" max="3" width="38.42578125" style="2" customWidth="1"/>
    <col min="4" max="4" width="57.140625" style="2" customWidth="1"/>
    <col min="5" max="5" width="20" style="2" customWidth="1"/>
    <col min="6" max="6" width="21.42578125" style="2" customWidth="1"/>
    <col min="7" max="7" width="11" style="2" customWidth="1"/>
    <col min="8" max="8" width="14.42578125" style="2" customWidth="1"/>
    <col min="9" max="10" width="11" style="2" customWidth="1"/>
    <col min="11" max="11" width="21.140625" style="2" bestFit="1" customWidth="1"/>
    <col min="12" max="12" width="11" style="2" customWidth="1"/>
    <col min="13" max="16384" width="9.140625" style="2"/>
  </cols>
  <sheetData>
    <row r="1" spans="1:26" ht="26.25">
      <c r="A1" s="408" t="s">
        <v>764</v>
      </c>
      <c r="B1" s="408"/>
      <c r="C1" s="408"/>
      <c r="D1" s="408"/>
      <c r="E1" s="408"/>
      <c r="F1" s="408"/>
      <c r="G1" s="50"/>
      <c r="H1" s="50"/>
      <c r="I1" s="50"/>
      <c r="J1" s="50"/>
      <c r="K1" s="50"/>
      <c r="L1" s="50"/>
      <c r="M1" s="50"/>
      <c r="N1" s="50"/>
      <c r="O1" s="50"/>
      <c r="P1" s="50"/>
      <c r="Q1" s="50"/>
    </row>
    <row r="2" spans="1:26" s="50" customFormat="1" ht="20.25" customHeight="1" thickBot="1">
      <c r="A2" s="61"/>
      <c r="B2" s="49"/>
      <c r="C2" s="62"/>
      <c r="D2" s="49"/>
      <c r="E2" s="49"/>
      <c r="F2" s="49"/>
    </row>
    <row r="3" spans="1:26" s="5" customFormat="1" ht="33.75" customHeight="1">
      <c r="A3" s="107" t="s">
        <v>765</v>
      </c>
      <c r="B3" s="168" t="str">
        <f>SUM(E10:E63) &amp; " of 20 points"</f>
        <v>0 of 20 points</v>
      </c>
      <c r="C3" s="50"/>
      <c r="D3" s="52"/>
      <c r="E3" s="49"/>
      <c r="F3" s="50"/>
      <c r="G3" s="50"/>
      <c r="H3" s="50"/>
      <c r="I3" s="50"/>
      <c r="J3" s="50"/>
      <c r="K3" s="50"/>
      <c r="L3" s="50"/>
      <c r="M3" s="50"/>
      <c r="N3" s="50"/>
      <c r="O3" s="50"/>
      <c r="P3" s="50"/>
      <c r="Q3" s="50"/>
      <c r="R3" s="50"/>
      <c r="S3" s="50"/>
      <c r="T3" s="50"/>
      <c r="U3" s="50"/>
      <c r="V3" s="50"/>
      <c r="W3" s="50"/>
      <c r="X3" s="50"/>
      <c r="Y3" s="50"/>
      <c r="Z3" s="50"/>
    </row>
    <row r="4" spans="1:26" s="5" customFormat="1" ht="17.25" customHeight="1">
      <c r="A4" s="87" t="s">
        <v>464</v>
      </c>
      <c r="B4" s="167" t="str">
        <f>SUM(E24:E32)   &amp; " of " &amp; 4.5</f>
        <v>0 of 4.5</v>
      </c>
      <c r="C4" s="49"/>
      <c r="D4" s="49"/>
      <c r="E4" s="49"/>
      <c r="F4" s="49"/>
      <c r="G4" s="50"/>
      <c r="H4" s="50"/>
      <c r="I4" s="50"/>
      <c r="J4" s="50"/>
      <c r="K4" s="50"/>
      <c r="L4" s="50"/>
      <c r="M4" s="50"/>
      <c r="N4" s="50"/>
      <c r="O4" s="50"/>
      <c r="P4" s="50"/>
      <c r="Q4" s="50"/>
      <c r="R4" s="50"/>
      <c r="S4" s="50"/>
      <c r="T4" s="50"/>
      <c r="U4" s="50"/>
      <c r="V4" s="50"/>
      <c r="W4" s="50"/>
      <c r="X4" s="50"/>
      <c r="Y4" s="50"/>
      <c r="Z4" s="50"/>
    </row>
    <row r="5" spans="1:26" s="5" customFormat="1" ht="17.25" customHeight="1">
      <c r="A5" s="87" t="s">
        <v>463</v>
      </c>
      <c r="B5" s="167" t="str">
        <f>SUM(E36:E37)   &amp; " of " &amp; 4.5</f>
        <v>0 of 4.5</v>
      </c>
      <c r="C5" s="49"/>
      <c r="D5" s="49"/>
      <c r="E5" s="49"/>
      <c r="F5" s="49"/>
      <c r="G5" s="50"/>
      <c r="H5" s="50"/>
      <c r="I5" s="50"/>
      <c r="J5" s="50"/>
      <c r="K5" s="50"/>
      <c r="L5" s="50"/>
      <c r="M5" s="50"/>
      <c r="N5" s="50"/>
      <c r="O5" s="50"/>
      <c r="P5" s="50"/>
      <c r="Q5" s="50"/>
      <c r="R5" s="50"/>
      <c r="S5" s="50"/>
      <c r="T5" s="50"/>
      <c r="U5" s="50"/>
      <c r="V5" s="50"/>
      <c r="W5" s="50"/>
      <c r="X5" s="50"/>
      <c r="Y5" s="50"/>
      <c r="Z5" s="50"/>
    </row>
    <row r="6" spans="1:26" ht="16.5" customHeight="1">
      <c r="A6" s="87" t="s">
        <v>766</v>
      </c>
      <c r="B6" s="167" t="str">
        <f>SUM(E41:E48)   &amp; " of " &amp; 4</f>
        <v>0 of 4</v>
      </c>
      <c r="C6" s="50"/>
      <c r="D6" s="49"/>
      <c r="E6" s="49"/>
      <c r="F6" s="49"/>
      <c r="G6" s="50"/>
      <c r="H6" s="50"/>
      <c r="I6" s="50"/>
      <c r="J6" s="50"/>
      <c r="K6" s="50"/>
      <c r="L6" s="50"/>
      <c r="M6" s="50"/>
      <c r="N6" s="50"/>
      <c r="O6" s="50"/>
      <c r="P6" s="50"/>
      <c r="Q6" s="50"/>
      <c r="R6" s="50"/>
      <c r="S6" s="50"/>
      <c r="T6" s="50"/>
      <c r="U6" s="50"/>
      <c r="V6" s="50"/>
      <c r="W6" s="50"/>
      <c r="X6" s="50"/>
      <c r="Y6" s="50"/>
      <c r="Z6" s="50"/>
    </row>
    <row r="7" spans="1:26" ht="16.5" customHeight="1">
      <c r="A7" s="87" t="s">
        <v>767</v>
      </c>
      <c r="B7" s="167" t="str">
        <f>SUM(E52:E55)   &amp; " of " &amp; 2</f>
        <v>0 of 2</v>
      </c>
      <c r="C7" s="50"/>
      <c r="D7" s="49"/>
      <c r="E7" s="49"/>
      <c r="F7" s="49"/>
      <c r="G7" s="50"/>
      <c r="H7" s="50"/>
      <c r="I7" s="50"/>
      <c r="J7" s="50"/>
      <c r="K7" s="50"/>
      <c r="L7" s="50"/>
      <c r="M7" s="50"/>
      <c r="N7" s="50"/>
      <c r="O7" s="50"/>
      <c r="P7" s="50"/>
      <c r="Q7" s="50"/>
      <c r="R7" s="50"/>
      <c r="S7" s="50"/>
      <c r="T7" s="50"/>
      <c r="U7" s="50"/>
      <c r="V7" s="50"/>
      <c r="W7" s="50"/>
      <c r="X7" s="50"/>
      <c r="Y7" s="50"/>
      <c r="Z7" s="50"/>
    </row>
    <row r="8" spans="1:26" ht="16.5" customHeight="1" thickBot="1">
      <c r="A8" s="88" t="s">
        <v>462</v>
      </c>
      <c r="B8" s="324" t="str">
        <f>SUM(E59:E63)   &amp; " of " &amp; 5</f>
        <v>0 of 5</v>
      </c>
      <c r="C8" s="50"/>
      <c r="D8" s="49"/>
      <c r="E8" s="49"/>
      <c r="F8" s="49"/>
      <c r="G8" s="50"/>
      <c r="H8" s="50"/>
      <c r="I8" s="50"/>
      <c r="J8" s="50"/>
      <c r="K8" s="50"/>
      <c r="L8" s="50"/>
      <c r="M8" s="50"/>
      <c r="N8" s="50"/>
      <c r="O8" s="50"/>
      <c r="P8" s="50"/>
      <c r="Q8" s="50"/>
      <c r="R8" s="50"/>
      <c r="S8" s="50"/>
      <c r="T8" s="50"/>
      <c r="U8" s="50"/>
      <c r="V8" s="50"/>
      <c r="W8" s="50"/>
      <c r="X8" s="50"/>
      <c r="Y8" s="50"/>
      <c r="Z8" s="50"/>
    </row>
    <row r="9" spans="1:26" s="50" customFormat="1" ht="18.75" customHeight="1">
      <c r="A9" s="60"/>
      <c r="B9" s="49"/>
      <c r="D9" s="49"/>
      <c r="E9" s="49"/>
      <c r="F9" s="49"/>
    </row>
    <row r="10" spans="1:26" s="50" customFormat="1" ht="21.75" thickBot="1">
      <c r="A10" s="53"/>
      <c r="B10" s="106"/>
      <c r="C10" s="106"/>
      <c r="D10" s="49"/>
      <c r="E10" s="49"/>
      <c r="F10" s="49"/>
    </row>
    <row r="11" spans="1:26" ht="29.25">
      <c r="A11" s="57"/>
      <c r="B11" s="434" t="s">
        <v>496</v>
      </c>
      <c r="C11" s="435"/>
      <c r="D11" s="435"/>
      <c r="E11" s="18" t="s">
        <v>531</v>
      </c>
      <c r="F11" s="50"/>
      <c r="G11" s="50"/>
      <c r="H11" s="50"/>
      <c r="I11" s="50"/>
      <c r="J11" s="50"/>
      <c r="K11" s="50"/>
      <c r="L11" s="50"/>
      <c r="M11" s="50"/>
      <c r="N11" s="50"/>
      <c r="O11" s="50"/>
      <c r="P11" s="50"/>
      <c r="Q11" s="50"/>
      <c r="R11" s="50"/>
      <c r="S11" s="50"/>
      <c r="T11" s="50"/>
      <c r="U11" s="50"/>
      <c r="V11" s="50"/>
      <c r="W11" s="50"/>
      <c r="X11" s="50"/>
      <c r="Y11" s="50"/>
      <c r="Z11" s="50"/>
    </row>
    <row r="12" spans="1:26" ht="27.75" customHeight="1">
      <c r="A12" s="64"/>
      <c r="B12" s="428" t="s">
        <v>500</v>
      </c>
      <c r="C12" s="429"/>
      <c r="D12" s="36"/>
      <c r="E12" s="19" t="s">
        <v>505</v>
      </c>
      <c r="F12" s="50"/>
      <c r="G12" s="50"/>
      <c r="H12" s="50"/>
      <c r="I12" s="50"/>
      <c r="J12" s="50"/>
      <c r="K12" s="50"/>
      <c r="L12" s="50"/>
      <c r="M12" s="50"/>
      <c r="N12" s="50"/>
      <c r="O12" s="50"/>
      <c r="P12" s="50"/>
      <c r="Q12" s="50"/>
      <c r="R12" s="50"/>
      <c r="S12" s="50"/>
      <c r="T12" s="50"/>
      <c r="U12" s="50"/>
      <c r="V12" s="50"/>
      <c r="W12" s="50"/>
      <c r="X12" s="50"/>
      <c r="Y12" s="50"/>
      <c r="Z12" s="50"/>
    </row>
    <row r="13" spans="1:26" ht="42.75" customHeight="1">
      <c r="A13" s="64"/>
      <c r="B13" s="428" t="s">
        <v>501</v>
      </c>
      <c r="C13" s="429"/>
      <c r="D13" s="36"/>
      <c r="E13" s="19" t="s">
        <v>505</v>
      </c>
      <c r="F13" s="50"/>
      <c r="G13" s="50"/>
      <c r="H13" s="50"/>
      <c r="I13" s="50"/>
      <c r="J13" s="50"/>
      <c r="K13" s="50"/>
      <c r="L13" s="50"/>
      <c r="M13" s="50"/>
      <c r="N13" s="50"/>
      <c r="O13" s="50"/>
      <c r="P13" s="50"/>
      <c r="Q13" s="50"/>
      <c r="R13" s="50"/>
      <c r="S13" s="50"/>
      <c r="T13" s="50"/>
      <c r="U13" s="50"/>
      <c r="V13" s="50"/>
      <c r="W13" s="50"/>
      <c r="X13" s="50"/>
      <c r="Y13" s="50"/>
      <c r="Z13" s="50"/>
    </row>
    <row r="14" spans="1:26" ht="32.25" customHeight="1">
      <c r="A14" s="64"/>
      <c r="B14" s="430" t="s">
        <v>564</v>
      </c>
      <c r="C14" s="431"/>
      <c r="D14" s="192"/>
      <c r="E14" s="22" t="s">
        <v>561</v>
      </c>
      <c r="F14" s="50"/>
      <c r="G14" s="50"/>
      <c r="H14" s="50"/>
      <c r="I14" s="50"/>
      <c r="J14" s="50"/>
      <c r="K14" s="50"/>
      <c r="L14" s="50"/>
      <c r="M14" s="50"/>
      <c r="N14" s="50"/>
      <c r="O14" s="50"/>
      <c r="P14" s="50"/>
      <c r="Q14" s="50"/>
      <c r="R14" s="50"/>
      <c r="S14" s="50"/>
      <c r="T14" s="50"/>
      <c r="U14" s="50"/>
      <c r="V14" s="50"/>
      <c r="W14" s="50"/>
      <c r="X14" s="50"/>
      <c r="Y14" s="50"/>
      <c r="Z14" s="50"/>
    </row>
    <row r="15" spans="1:26" ht="27.75" customHeight="1">
      <c r="A15" s="64"/>
      <c r="B15" s="432" t="s">
        <v>563</v>
      </c>
      <c r="C15" s="433"/>
      <c r="D15" s="192"/>
      <c r="E15" s="22" t="s">
        <v>560</v>
      </c>
      <c r="F15" s="50"/>
      <c r="G15" s="50"/>
      <c r="H15" s="50"/>
      <c r="I15" s="50"/>
      <c r="J15" s="50"/>
      <c r="K15" s="50"/>
      <c r="L15" s="50"/>
      <c r="M15" s="50"/>
      <c r="N15" s="50"/>
      <c r="O15" s="50"/>
      <c r="P15" s="50"/>
      <c r="Q15" s="50"/>
      <c r="R15" s="50"/>
      <c r="S15" s="50"/>
      <c r="T15" s="50"/>
      <c r="U15" s="50"/>
      <c r="V15" s="50"/>
      <c r="W15" s="50"/>
      <c r="X15" s="50"/>
      <c r="Y15" s="50"/>
      <c r="Z15" s="50"/>
    </row>
    <row r="16" spans="1:26" ht="30" customHeight="1">
      <c r="A16" s="64"/>
      <c r="B16" s="432" t="s">
        <v>566</v>
      </c>
      <c r="C16" s="433"/>
      <c r="D16" s="252"/>
      <c r="E16" s="22" t="s">
        <v>562</v>
      </c>
      <c r="F16" s="50"/>
      <c r="G16" s="50"/>
      <c r="H16" s="50"/>
      <c r="I16" s="50"/>
      <c r="J16" s="50"/>
      <c r="K16" s="50"/>
      <c r="L16" s="50"/>
      <c r="M16" s="50"/>
      <c r="N16" s="50"/>
      <c r="O16" s="50"/>
      <c r="P16" s="50"/>
      <c r="Q16" s="50"/>
      <c r="R16" s="50"/>
      <c r="S16" s="50"/>
      <c r="T16" s="50"/>
      <c r="U16" s="50"/>
      <c r="V16" s="50"/>
      <c r="W16" s="50"/>
      <c r="X16" s="50"/>
      <c r="Y16" s="50"/>
      <c r="Z16" s="50"/>
    </row>
    <row r="17" spans="1:26" ht="27.75" customHeight="1">
      <c r="A17" s="64"/>
      <c r="B17" s="432" t="s">
        <v>860</v>
      </c>
      <c r="C17" s="433"/>
      <c r="D17" s="189"/>
      <c r="E17" s="19" t="s">
        <v>505</v>
      </c>
      <c r="F17" s="50"/>
      <c r="H17" s="50"/>
      <c r="I17" s="50"/>
      <c r="J17" s="50"/>
      <c r="K17" s="50"/>
      <c r="L17" s="50"/>
      <c r="M17" s="50"/>
      <c r="N17" s="50"/>
      <c r="O17" s="50"/>
      <c r="P17" s="50"/>
      <c r="Q17" s="50"/>
      <c r="R17" s="50"/>
      <c r="S17" s="50"/>
      <c r="T17" s="50"/>
      <c r="U17" s="50"/>
      <c r="V17" s="50"/>
      <c r="W17" s="50"/>
      <c r="X17" s="50"/>
      <c r="Y17" s="50"/>
      <c r="Z17" s="50"/>
    </row>
    <row r="18" spans="1:26" ht="27" customHeight="1">
      <c r="A18" s="64"/>
      <c r="B18" s="432" t="s">
        <v>837</v>
      </c>
      <c r="C18" s="433"/>
      <c r="D18" s="188"/>
      <c r="E18" s="22" t="s">
        <v>561</v>
      </c>
      <c r="F18" s="50"/>
      <c r="G18" s="50"/>
      <c r="H18" s="50"/>
      <c r="I18" s="50"/>
      <c r="J18" s="50"/>
      <c r="K18" s="50"/>
      <c r="L18" s="50"/>
      <c r="M18" s="50"/>
      <c r="N18" s="50"/>
      <c r="O18" s="50"/>
      <c r="P18" s="50"/>
      <c r="Q18" s="50"/>
      <c r="R18" s="50"/>
      <c r="S18" s="50"/>
      <c r="T18" s="50"/>
      <c r="U18" s="50"/>
      <c r="V18" s="50"/>
      <c r="W18" s="50"/>
      <c r="X18" s="50"/>
      <c r="Y18" s="50"/>
      <c r="Z18" s="50"/>
    </row>
    <row r="19" spans="1:26" ht="27.75" customHeight="1">
      <c r="A19" s="64"/>
      <c r="B19" s="432" t="s">
        <v>565</v>
      </c>
      <c r="C19" s="433"/>
      <c r="D19" s="190"/>
      <c r="E19" s="90" t="s">
        <v>560</v>
      </c>
      <c r="F19" s="50"/>
      <c r="G19" s="50"/>
      <c r="H19" s="50"/>
      <c r="I19" s="50"/>
      <c r="J19" s="50"/>
      <c r="K19" s="50"/>
      <c r="L19" s="50"/>
      <c r="M19" s="50"/>
      <c r="N19" s="50"/>
      <c r="O19" s="50"/>
      <c r="P19" s="50"/>
      <c r="Q19" s="50"/>
      <c r="R19" s="50"/>
      <c r="S19" s="50"/>
      <c r="T19" s="50"/>
      <c r="U19" s="50"/>
      <c r="V19" s="50"/>
      <c r="W19" s="50"/>
      <c r="X19" s="50"/>
      <c r="Y19" s="50"/>
      <c r="Z19" s="50"/>
    </row>
    <row r="20" spans="1:26" s="50" customFormat="1" ht="29.25" customHeight="1">
      <c r="A20" s="61"/>
      <c r="B20" s="432" t="s">
        <v>567</v>
      </c>
      <c r="C20" s="433"/>
      <c r="D20" s="193"/>
      <c r="E20" s="90" t="s">
        <v>562</v>
      </c>
    </row>
    <row r="21" spans="1:26" s="50" customFormat="1" ht="28.5" customHeight="1" thickBot="1">
      <c r="A21" s="61"/>
      <c r="B21" s="436" t="s">
        <v>568</v>
      </c>
      <c r="C21" s="437"/>
      <c r="D21" s="194"/>
      <c r="E21" s="162" t="s">
        <v>536</v>
      </c>
    </row>
    <row r="22" spans="1:26" s="50" customFormat="1" ht="21.75" thickBot="1">
      <c r="A22" s="59" t="s">
        <v>502</v>
      </c>
      <c r="B22" s="49"/>
      <c r="C22" s="49"/>
      <c r="D22" s="49">
        <v>1</v>
      </c>
      <c r="E22" s="49"/>
      <c r="F22" s="49"/>
    </row>
    <row r="23" spans="1:26" ht="26.25" outlineLevel="1">
      <c r="A23" s="69" t="s">
        <v>58</v>
      </c>
      <c r="B23" s="70" t="s">
        <v>11</v>
      </c>
      <c r="C23" s="70" t="s">
        <v>450</v>
      </c>
      <c r="D23" s="70" t="s">
        <v>527</v>
      </c>
      <c r="E23" s="70" t="s">
        <v>1</v>
      </c>
      <c r="F23" s="89" t="s">
        <v>511</v>
      </c>
      <c r="G23" s="50"/>
      <c r="H23" s="50"/>
      <c r="I23" s="50"/>
      <c r="J23" s="50"/>
      <c r="K23" s="50"/>
      <c r="L23" s="50"/>
      <c r="M23" s="50"/>
      <c r="N23" s="50"/>
      <c r="O23" s="50"/>
      <c r="P23" s="50"/>
      <c r="Q23" s="50"/>
      <c r="R23" s="50"/>
      <c r="S23" s="50"/>
      <c r="T23" s="50"/>
      <c r="U23" s="50"/>
      <c r="V23" s="50"/>
      <c r="W23" s="50"/>
      <c r="X23" s="50"/>
      <c r="Y23" s="50"/>
      <c r="Z23" s="50"/>
    </row>
    <row r="24" spans="1:26" ht="45.2" customHeight="1" outlineLevel="1">
      <c r="A24" s="398" t="s">
        <v>502</v>
      </c>
      <c r="B24" s="182" t="str">
        <f>IF(D12="Investor-owned utility","What does the electric utility spend on energy efficiency programs as a percentage of its revenue?","Not applicable")</f>
        <v>Not applicable</v>
      </c>
      <c r="C24" s="172" t="str">
        <f>IF(AND(D14&gt;0, D15&gt;0,B24="What is the electric utility spending on energy efficiency programs as a percentage of its revenue?"),D15/D14,"")</f>
        <v/>
      </c>
      <c r="D24" s="33"/>
      <c r="E24" s="169" t="str">
        <f>IF(D24="","",IF(D12="Municipally owned utility",VLOOKUP(D24,'Hidden Sheet'!A158:B174,2,FALSE),IF(D12="Investor-owned utility",VLOOKUP(D24,'Hidden Sheet'!D158:E165,2,FALSE))))</f>
        <v/>
      </c>
      <c r="F24" s="108" t="s">
        <v>519</v>
      </c>
      <c r="G24" s="50"/>
      <c r="H24" s="50"/>
      <c r="I24" s="50"/>
      <c r="J24" s="50"/>
      <c r="K24" s="50"/>
      <c r="L24" s="50"/>
      <c r="M24" s="50"/>
      <c r="N24" s="50"/>
      <c r="O24" s="50"/>
      <c r="P24" s="50"/>
      <c r="Q24" s="50"/>
      <c r="R24" s="50"/>
      <c r="S24" s="50"/>
      <c r="T24" s="50"/>
      <c r="U24" s="50"/>
      <c r="V24" s="50"/>
      <c r="W24" s="50"/>
      <c r="X24" s="50"/>
      <c r="Y24" s="50"/>
      <c r="Z24" s="50"/>
    </row>
    <row r="25" spans="1:26" ht="45.2" customHeight="1" outlineLevel="1">
      <c r="A25" s="411"/>
      <c r="B25" s="182" t="str">
        <f>IF(D12="Municipally owned utility","What is the electric utility spending on energy efficiency programs as a percentage of its revenue?","Not applicable")</f>
        <v>Not applicable</v>
      </c>
      <c r="C25" s="244" t="str">
        <f>IF(AND(D14&gt;0, D15&gt;0,B25="What is the electric utility spending on energy efficiency programs as a percentage of its revenue?"),D15/D14,"")</f>
        <v/>
      </c>
      <c r="D25" s="245"/>
      <c r="E25" s="236" t="str">
        <f>IF(D25=B86,3,IF(D25=C86,2.5,IF(D25=D86,2,IF(D25=E86,1.5,IF(D25=F86,1,IF(D25=G86,0.5,IF(D25=H86,0,"")))))))</f>
        <v/>
      </c>
      <c r="F25" s="108" t="s">
        <v>519</v>
      </c>
      <c r="G25" s="50"/>
      <c r="H25" s="50"/>
      <c r="I25" s="50"/>
      <c r="J25" s="50"/>
      <c r="K25" s="50"/>
      <c r="L25" s="50"/>
      <c r="M25" s="50"/>
      <c r="N25" s="50"/>
      <c r="O25" s="50"/>
      <c r="P25" s="50"/>
      <c r="Q25" s="50"/>
      <c r="R25" s="50"/>
      <c r="S25" s="50"/>
      <c r="T25" s="50"/>
      <c r="U25" s="50"/>
      <c r="V25" s="50"/>
      <c r="W25" s="50"/>
      <c r="X25" s="50"/>
      <c r="Y25" s="50"/>
      <c r="Z25" s="50"/>
    </row>
    <row r="26" spans="1:26" ht="69.75" customHeight="1" outlineLevel="1" thickBot="1">
      <c r="A26" s="399"/>
      <c r="B26" s="238" t="str">
        <f>IF(D12=B84,"Have your city and electric utility developed a formal partnership to improve the delivery of energy efficiency programs and/or support local sustainability initiatives?","Non applicable")</f>
        <v>Non applicable</v>
      </c>
      <c r="C26" s="75"/>
      <c r="D26" s="207"/>
      <c r="E26" s="236" t="str">
        <f>IF(D26=B87,1,IF(D26=C87,0.5,IF(D26=D87,0,"")))</f>
        <v/>
      </c>
      <c r="F26" s="76" t="s">
        <v>505</v>
      </c>
      <c r="G26" s="79"/>
      <c r="H26" s="50"/>
      <c r="I26" s="50"/>
      <c r="J26" s="50"/>
      <c r="K26" s="50"/>
      <c r="L26" s="50"/>
      <c r="M26" s="50"/>
      <c r="N26" s="50"/>
      <c r="O26" s="50"/>
      <c r="P26" s="50"/>
      <c r="Q26" s="50"/>
      <c r="R26" s="50"/>
      <c r="S26" s="50"/>
      <c r="T26" s="50"/>
      <c r="U26" s="50"/>
      <c r="V26" s="50"/>
      <c r="W26" s="50"/>
      <c r="X26" s="50"/>
      <c r="Y26" s="50"/>
      <c r="Z26" s="50"/>
    </row>
    <row r="27" spans="1:26" s="50" customFormat="1" ht="21">
      <c r="A27" s="115"/>
      <c r="B27" s="363"/>
      <c r="C27" s="49"/>
      <c r="D27" s="229"/>
      <c r="E27" s="229"/>
      <c r="F27" s="49"/>
    </row>
    <row r="28" spans="1:26" s="50" customFormat="1" ht="21.75" thickBot="1">
      <c r="A28" s="59" t="s">
        <v>503</v>
      </c>
      <c r="B28" s="359"/>
      <c r="C28" s="49"/>
      <c r="D28" s="49"/>
      <c r="E28" s="49"/>
      <c r="F28" s="49"/>
    </row>
    <row r="29" spans="1:26" ht="35.25" customHeight="1" outlineLevel="1">
      <c r="A29" s="69" t="s">
        <v>58</v>
      </c>
      <c r="B29" s="360" t="s">
        <v>11</v>
      </c>
      <c r="C29" s="70" t="s">
        <v>9</v>
      </c>
      <c r="D29" s="70" t="s">
        <v>510</v>
      </c>
      <c r="E29" s="70" t="s">
        <v>1</v>
      </c>
      <c r="F29" s="89" t="s">
        <v>511</v>
      </c>
      <c r="G29" s="50"/>
      <c r="H29" s="50"/>
      <c r="I29" s="50"/>
      <c r="J29" s="50"/>
      <c r="K29" s="50"/>
      <c r="L29" s="50"/>
      <c r="M29" s="50"/>
      <c r="N29" s="50"/>
      <c r="O29" s="50"/>
      <c r="P29" s="50"/>
      <c r="Q29" s="50"/>
      <c r="R29" s="50"/>
      <c r="S29" s="50"/>
      <c r="T29" s="50"/>
      <c r="U29" s="50"/>
      <c r="V29" s="50"/>
      <c r="W29" s="50"/>
      <c r="X29" s="50"/>
      <c r="Y29" s="50"/>
      <c r="Z29" s="50"/>
    </row>
    <row r="30" spans="1:26" ht="45.2" customHeight="1" outlineLevel="1">
      <c r="A30" s="398" t="s">
        <v>503</v>
      </c>
      <c r="B30" s="182" t="str">
        <f>IF(D13="Investor-owned utility","What does the gas utility spend on energy efficiency per customer?","Not applicable")</f>
        <v>Not applicable</v>
      </c>
      <c r="C30" s="173" t="str">
        <f>IF(AND(D16&gt;0,B30="What is the gas utility energy efficiency spending per customer?"),1000*D17/D16,"")</f>
        <v/>
      </c>
      <c r="D30" s="33"/>
      <c r="E30" s="209" t="str">
        <f>IF(D30=B88,1,IF(D30=C88,0.5,IF(D30=D88,0,"")))</f>
        <v/>
      </c>
      <c r="F30" s="108" t="s">
        <v>519</v>
      </c>
      <c r="G30" s="50"/>
      <c r="H30" s="50"/>
      <c r="I30" s="50"/>
      <c r="J30" s="50"/>
      <c r="K30" s="50"/>
      <c r="L30" s="50"/>
      <c r="M30" s="50"/>
      <c r="N30" s="50"/>
      <c r="O30" s="50"/>
      <c r="P30" s="50"/>
      <c r="Q30" s="50"/>
      <c r="R30" s="50"/>
      <c r="S30" s="50"/>
      <c r="T30" s="50"/>
      <c r="U30" s="50"/>
      <c r="V30" s="50"/>
      <c r="W30" s="50"/>
      <c r="X30" s="50"/>
      <c r="Y30" s="50"/>
      <c r="Z30" s="50"/>
    </row>
    <row r="31" spans="1:26" ht="45.2" customHeight="1" outlineLevel="1">
      <c r="A31" s="411"/>
      <c r="B31" s="182" t="str">
        <f>IF(D13="Municipally owned utility","What is the gas utility energy efficiency spending per customer?","Not applicable")</f>
        <v>Not applicable</v>
      </c>
      <c r="C31" s="246" t="str">
        <f>IF(AND(D16&gt;0,B31="What is the gas utility energy efficiency spending per customer?"),D17/D16,"")</f>
        <v/>
      </c>
      <c r="D31" s="245"/>
      <c r="E31" s="209" t="str">
        <f>IF(D31=B89,1.5,IF(D31=C89,1,IF(D31=D89,0.5,IF(D31=E89,0,""))))</f>
        <v/>
      </c>
      <c r="F31" s="108" t="s">
        <v>519</v>
      </c>
      <c r="G31" s="50"/>
      <c r="H31" s="50"/>
      <c r="I31" s="50"/>
      <c r="J31" s="50"/>
      <c r="K31" s="50"/>
      <c r="L31" s="50"/>
      <c r="M31" s="50"/>
      <c r="N31" s="50"/>
      <c r="O31" s="50"/>
      <c r="P31" s="50"/>
      <c r="Q31" s="50"/>
      <c r="R31" s="50"/>
      <c r="S31" s="50"/>
      <c r="T31" s="50"/>
      <c r="U31" s="50"/>
      <c r="V31" s="50"/>
      <c r="W31" s="50"/>
      <c r="X31" s="50"/>
      <c r="Y31" s="50"/>
      <c r="Z31" s="50"/>
    </row>
    <row r="32" spans="1:26" ht="66" customHeight="1" outlineLevel="1" thickBot="1">
      <c r="A32" s="399"/>
      <c r="B32" s="238" t="str">
        <f>IF(D13=B84,"Does your city and the natural gas utilityo have a formal partnership in the form of a jointly-developed or administered energy saving strategy, plan, or agreement?","Non applicable")</f>
        <v>Non applicable</v>
      </c>
      <c r="C32" s="75"/>
      <c r="D32" s="207"/>
      <c r="E32" s="217" t="str">
        <f>IF(D32=B90,0.5,IF(D32=C90,0,""))</f>
        <v/>
      </c>
      <c r="F32" s="76" t="s">
        <v>505</v>
      </c>
      <c r="G32" s="79"/>
      <c r="H32" s="50"/>
      <c r="I32" s="50"/>
      <c r="J32" s="50"/>
      <c r="K32" s="50"/>
      <c r="L32" s="50"/>
      <c r="M32" s="50"/>
      <c r="N32" s="50"/>
      <c r="O32" s="50"/>
      <c r="P32" s="50"/>
      <c r="Q32" s="50"/>
      <c r="R32" s="50"/>
      <c r="S32" s="50"/>
      <c r="T32" s="50"/>
      <c r="U32" s="50"/>
      <c r="V32" s="50"/>
      <c r="W32" s="50"/>
      <c r="X32" s="50"/>
      <c r="Y32" s="50"/>
      <c r="Z32" s="50"/>
    </row>
    <row r="33" spans="1:26" s="50" customFormat="1" outlineLevel="1">
      <c r="A33" s="57"/>
      <c r="B33" s="364"/>
      <c r="C33" s="55"/>
      <c r="D33" s="234"/>
      <c r="E33" s="243"/>
      <c r="F33" s="56"/>
      <c r="G33" s="79"/>
    </row>
    <row r="34" spans="1:26" s="50" customFormat="1" ht="21.75" thickBot="1">
      <c r="A34" s="59" t="s">
        <v>504</v>
      </c>
      <c r="B34" s="359"/>
      <c r="C34" s="49"/>
      <c r="D34" s="49"/>
      <c r="E34" s="49"/>
      <c r="F34" s="49"/>
    </row>
    <row r="35" spans="1:26" ht="36.75" customHeight="1" outlineLevel="1">
      <c r="A35" s="157" t="s">
        <v>58</v>
      </c>
      <c r="B35" s="360" t="s">
        <v>11</v>
      </c>
      <c r="C35" s="158" t="s">
        <v>9</v>
      </c>
      <c r="D35" s="158" t="s">
        <v>510</v>
      </c>
      <c r="E35" s="158" t="s">
        <v>1</v>
      </c>
      <c r="F35" s="89" t="s">
        <v>511</v>
      </c>
      <c r="G35" s="50"/>
      <c r="H35" s="50"/>
      <c r="I35" s="50"/>
      <c r="J35" s="50"/>
      <c r="K35" s="50"/>
      <c r="L35" s="50"/>
      <c r="M35" s="50"/>
      <c r="N35" s="50"/>
      <c r="O35" s="50"/>
      <c r="P35" s="50"/>
      <c r="Q35" s="50"/>
      <c r="R35" s="50"/>
      <c r="S35" s="50"/>
      <c r="T35" s="50"/>
      <c r="U35" s="50"/>
      <c r="V35" s="50"/>
      <c r="W35" s="50"/>
      <c r="X35" s="50"/>
      <c r="Y35" s="50"/>
      <c r="Z35" s="50"/>
    </row>
    <row r="36" spans="1:26" ht="30" outlineLevel="1">
      <c r="A36" s="156" t="s">
        <v>506</v>
      </c>
      <c r="B36" s="182" t="s">
        <v>768</v>
      </c>
      <c r="C36" s="172" t="str">
        <f>IF(D18&gt;0,D19/D18,"")</f>
        <v/>
      </c>
      <c r="D36" s="33"/>
      <c r="E36" s="163" t="str">
        <f>IF(D36=B91,3,IF(D36=C91,2.5,IF(D36=D91,2,IF(D36=E91,1.5,IF(D36=F91,1,IF(D36=G91,0.5,IF(D36=H91,0,"")))))))</f>
        <v/>
      </c>
      <c r="F36" s="109" t="s">
        <v>519</v>
      </c>
      <c r="G36" s="50"/>
      <c r="H36" s="50"/>
      <c r="I36" s="50"/>
      <c r="J36" s="50"/>
      <c r="K36" s="50"/>
      <c r="L36" s="50"/>
      <c r="M36" s="50"/>
      <c r="N36" s="50"/>
      <c r="O36" s="50"/>
      <c r="P36" s="50"/>
      <c r="Q36" s="50"/>
      <c r="R36" s="50"/>
      <c r="S36" s="50"/>
      <c r="T36" s="50"/>
      <c r="U36" s="50"/>
      <c r="V36" s="50"/>
      <c r="W36" s="50"/>
      <c r="X36" s="50"/>
      <c r="Y36" s="50"/>
      <c r="Z36" s="50"/>
    </row>
    <row r="37" spans="1:26" ht="36" customHeight="1" outlineLevel="1" thickBot="1">
      <c r="A37" s="73" t="s">
        <v>507</v>
      </c>
      <c r="B37" s="362" t="s">
        <v>861</v>
      </c>
      <c r="C37" s="174" t="str">
        <f>IF(D20&gt;0,D21/D20,"")</f>
        <v/>
      </c>
      <c r="D37" s="110"/>
      <c r="E37" s="164" t="str">
        <f>IF(D37=B92,1.5,IF(D37=C92,1,IF(D37=D92,0.5,IF(D37=E92,0,""))))</f>
        <v/>
      </c>
      <c r="F37" s="161" t="s">
        <v>519</v>
      </c>
      <c r="G37" s="50"/>
      <c r="H37" s="50"/>
      <c r="I37" s="50"/>
      <c r="J37" s="50"/>
      <c r="K37" s="50"/>
      <c r="L37" s="50"/>
      <c r="M37" s="50"/>
      <c r="N37" s="50"/>
      <c r="O37" s="50"/>
      <c r="P37" s="50"/>
      <c r="Q37" s="50"/>
      <c r="R37" s="50"/>
      <c r="S37" s="50"/>
      <c r="T37" s="50"/>
      <c r="U37" s="50"/>
      <c r="V37" s="50"/>
      <c r="W37" s="50"/>
      <c r="X37" s="50"/>
      <c r="Y37" s="50"/>
      <c r="Z37" s="50"/>
    </row>
    <row r="38" spans="1:26" s="50" customFormat="1" outlineLevel="1">
      <c r="A38" s="57"/>
      <c r="B38" s="365"/>
      <c r="C38" s="112"/>
      <c r="D38" s="113"/>
      <c r="E38" s="56"/>
      <c r="F38" s="114"/>
    </row>
    <row r="39" spans="1:26" s="50" customFormat="1" ht="21.75" thickBot="1">
      <c r="A39" s="59" t="s">
        <v>766</v>
      </c>
      <c r="B39" s="359"/>
      <c r="C39" s="49"/>
      <c r="D39" s="49"/>
      <c r="E39" s="49"/>
      <c r="F39" s="49"/>
    </row>
    <row r="40" spans="1:26" ht="36.75" customHeight="1" outlineLevel="1">
      <c r="A40" s="69" t="s">
        <v>58</v>
      </c>
      <c r="B40" s="360" t="s">
        <v>11</v>
      </c>
      <c r="C40" s="70" t="s">
        <v>9</v>
      </c>
      <c r="D40" s="70" t="s">
        <v>510</v>
      </c>
      <c r="E40" s="70" t="s">
        <v>1</v>
      </c>
      <c r="F40" s="89" t="s">
        <v>511</v>
      </c>
      <c r="G40" s="50"/>
      <c r="H40" s="50"/>
      <c r="I40" s="50"/>
      <c r="J40" s="50"/>
      <c r="K40" s="50"/>
      <c r="L40" s="50"/>
      <c r="M40" s="50"/>
      <c r="N40" s="50"/>
      <c r="O40" s="50"/>
      <c r="P40" s="50"/>
      <c r="Q40" s="50"/>
      <c r="R40" s="50"/>
      <c r="S40" s="50"/>
      <c r="T40" s="50"/>
      <c r="U40" s="50"/>
      <c r="V40" s="50"/>
      <c r="W40" s="50"/>
      <c r="X40" s="50"/>
      <c r="Y40" s="50"/>
      <c r="Z40" s="50"/>
    </row>
    <row r="41" spans="1:26" ht="45.2" customHeight="1" outlineLevel="1">
      <c r="A41" s="425" t="s">
        <v>571</v>
      </c>
      <c r="B41" s="182" t="s">
        <v>769</v>
      </c>
      <c r="C41" s="32"/>
      <c r="D41" s="30"/>
      <c r="E41" s="236" t="str">
        <f>IF(D41=B93,0.5,IF(D41=C93,0,""))</f>
        <v/>
      </c>
      <c r="F41" s="72" t="s">
        <v>505</v>
      </c>
      <c r="G41" s="116"/>
      <c r="H41" s="50"/>
      <c r="I41" s="50"/>
      <c r="J41" s="50"/>
      <c r="K41" s="50"/>
      <c r="L41" s="50"/>
      <c r="M41" s="50"/>
      <c r="N41" s="50"/>
      <c r="O41" s="50"/>
      <c r="P41" s="50"/>
      <c r="Q41" s="50"/>
      <c r="R41" s="50"/>
      <c r="S41" s="50"/>
      <c r="T41" s="50"/>
      <c r="U41" s="50"/>
      <c r="V41" s="50"/>
      <c r="W41" s="50"/>
      <c r="X41" s="50"/>
      <c r="Y41" s="50"/>
      <c r="Z41" s="50"/>
    </row>
    <row r="42" spans="1:26" ht="52.5" customHeight="1" outlineLevel="1">
      <c r="A42" s="426"/>
      <c r="B42" s="238" t="s">
        <v>862</v>
      </c>
      <c r="C42" s="207"/>
      <c r="D42" s="208"/>
      <c r="E42" s="236" t="str">
        <f>IF(D42=B94,0.5,IF(D42=C94,0,""))</f>
        <v/>
      </c>
      <c r="F42" s="92" t="s">
        <v>505</v>
      </c>
      <c r="G42" s="116"/>
      <c r="H42" s="50"/>
      <c r="I42" s="50"/>
      <c r="J42" s="50"/>
      <c r="K42" s="50"/>
      <c r="L42" s="50"/>
      <c r="M42" s="50"/>
      <c r="N42" s="50"/>
      <c r="O42" s="50"/>
      <c r="P42" s="50"/>
      <c r="Q42" s="50"/>
      <c r="R42" s="50"/>
      <c r="S42" s="50"/>
      <c r="T42" s="50"/>
      <c r="U42" s="50"/>
      <c r="V42" s="50"/>
      <c r="W42" s="50"/>
      <c r="X42" s="50"/>
      <c r="Y42" s="50"/>
      <c r="Z42" s="50"/>
    </row>
    <row r="43" spans="1:26" ht="39.75" customHeight="1" outlineLevel="1">
      <c r="A43" s="426"/>
      <c r="B43" s="238" t="s">
        <v>863</v>
      </c>
      <c r="C43" s="207"/>
      <c r="D43" s="208"/>
      <c r="E43" s="236" t="str">
        <f t="shared" ref="E43:E48" si="0">IF(D43=B95,0.5,IF(D43=C95,0,""))</f>
        <v/>
      </c>
      <c r="F43" s="92" t="s">
        <v>505</v>
      </c>
      <c r="G43" s="116"/>
      <c r="H43" s="50"/>
      <c r="I43" s="50"/>
      <c r="J43" s="50"/>
      <c r="K43" s="50"/>
      <c r="L43" s="50"/>
      <c r="M43" s="50"/>
      <c r="N43" s="50"/>
      <c r="O43" s="50"/>
      <c r="P43" s="50"/>
      <c r="Q43" s="50"/>
      <c r="R43" s="50"/>
      <c r="S43" s="50"/>
      <c r="T43" s="50"/>
      <c r="U43" s="50"/>
      <c r="V43" s="50"/>
      <c r="W43" s="50"/>
      <c r="X43" s="50"/>
      <c r="Y43" s="50"/>
      <c r="Z43" s="50"/>
    </row>
    <row r="44" spans="1:26" ht="69.2" customHeight="1" outlineLevel="1">
      <c r="A44" s="427"/>
      <c r="B44" s="238" t="s">
        <v>864</v>
      </c>
      <c r="C44" s="207"/>
      <c r="D44" s="208"/>
      <c r="E44" s="236" t="str">
        <f t="shared" si="0"/>
        <v/>
      </c>
      <c r="F44" s="92" t="s">
        <v>505</v>
      </c>
      <c r="G44" s="116"/>
      <c r="H44" s="50"/>
      <c r="I44" s="50"/>
      <c r="J44" s="50"/>
      <c r="K44" s="50"/>
      <c r="L44" s="50"/>
      <c r="M44" s="50"/>
      <c r="N44" s="50"/>
      <c r="O44" s="50"/>
      <c r="P44" s="50"/>
      <c r="Q44" s="50"/>
      <c r="R44" s="50"/>
      <c r="S44" s="50"/>
      <c r="T44" s="50"/>
      <c r="U44" s="50"/>
      <c r="V44" s="50"/>
      <c r="W44" s="50"/>
      <c r="X44" s="50"/>
      <c r="Y44" s="50"/>
      <c r="Z44" s="50"/>
    </row>
    <row r="45" spans="1:26" ht="45.2" customHeight="1" outlineLevel="1">
      <c r="A45" s="422" t="s">
        <v>572</v>
      </c>
      <c r="B45" s="182" t="s">
        <v>773</v>
      </c>
      <c r="C45" s="32"/>
      <c r="D45" s="208"/>
      <c r="E45" s="236" t="str">
        <f t="shared" si="0"/>
        <v/>
      </c>
      <c r="F45" s="92" t="s">
        <v>505</v>
      </c>
      <c r="G45" s="116"/>
      <c r="H45" s="50"/>
      <c r="I45" s="50"/>
      <c r="J45" s="50"/>
      <c r="K45" s="50"/>
      <c r="L45" s="50"/>
      <c r="M45" s="50"/>
      <c r="N45" s="50"/>
      <c r="O45" s="50"/>
      <c r="P45" s="50"/>
      <c r="Q45" s="50"/>
      <c r="R45" s="50"/>
      <c r="S45" s="50"/>
      <c r="T45" s="50"/>
      <c r="U45" s="50"/>
      <c r="V45" s="50"/>
      <c r="W45" s="50"/>
      <c r="X45" s="50"/>
      <c r="Y45" s="50"/>
      <c r="Z45" s="50"/>
    </row>
    <row r="46" spans="1:26" ht="60" customHeight="1" outlineLevel="1">
      <c r="A46" s="423"/>
      <c r="B46" s="182" t="s">
        <v>774</v>
      </c>
      <c r="C46" s="255"/>
      <c r="D46" s="256"/>
      <c r="E46" s="236" t="str">
        <f t="shared" si="0"/>
        <v/>
      </c>
      <c r="F46" s="92" t="s">
        <v>505</v>
      </c>
      <c r="G46" s="116"/>
      <c r="H46" s="50"/>
      <c r="I46" s="50"/>
      <c r="J46" s="50"/>
      <c r="K46" s="50"/>
      <c r="L46" s="50"/>
      <c r="M46" s="50"/>
      <c r="N46" s="50"/>
      <c r="O46" s="50"/>
      <c r="P46" s="50"/>
      <c r="Q46" s="50"/>
      <c r="R46" s="50"/>
      <c r="S46" s="50"/>
      <c r="T46" s="50"/>
      <c r="U46" s="50"/>
      <c r="V46" s="50"/>
      <c r="W46" s="50"/>
      <c r="X46" s="50"/>
      <c r="Y46" s="50"/>
      <c r="Z46" s="50"/>
    </row>
    <row r="47" spans="1:26" ht="60" customHeight="1" outlineLevel="1">
      <c r="A47" s="423"/>
      <c r="B47" s="182" t="s">
        <v>652</v>
      </c>
      <c r="C47" s="255"/>
      <c r="D47" s="256"/>
      <c r="E47" s="236" t="str">
        <f t="shared" si="0"/>
        <v/>
      </c>
      <c r="F47" s="92" t="s">
        <v>505</v>
      </c>
      <c r="G47" s="116"/>
      <c r="H47" s="50"/>
      <c r="I47" s="50"/>
      <c r="J47" s="50"/>
      <c r="K47" s="50"/>
      <c r="L47" s="50"/>
      <c r="M47" s="50"/>
      <c r="N47" s="50"/>
      <c r="O47" s="50"/>
      <c r="P47" s="50"/>
      <c r="Q47" s="50"/>
      <c r="R47" s="50"/>
      <c r="S47" s="50"/>
      <c r="T47" s="50"/>
      <c r="U47" s="50"/>
      <c r="V47" s="50"/>
      <c r="W47" s="50"/>
      <c r="X47" s="50"/>
      <c r="Y47" s="50"/>
      <c r="Z47" s="50"/>
    </row>
    <row r="48" spans="1:26" ht="78.75" customHeight="1" outlineLevel="1" thickBot="1">
      <c r="A48" s="424"/>
      <c r="B48" s="284" t="s">
        <v>776</v>
      </c>
      <c r="C48" s="240"/>
      <c r="D48" s="241"/>
      <c r="E48" s="236" t="str">
        <f t="shared" si="0"/>
        <v/>
      </c>
      <c r="F48" s="76" t="s">
        <v>505</v>
      </c>
      <c r="G48" s="239"/>
      <c r="H48" s="50"/>
      <c r="I48" s="50"/>
      <c r="J48" s="50"/>
      <c r="K48" s="50"/>
      <c r="L48" s="50"/>
      <c r="M48" s="50"/>
      <c r="N48" s="50"/>
      <c r="O48" s="50"/>
      <c r="P48" s="50"/>
      <c r="Q48" s="50"/>
      <c r="R48" s="50"/>
      <c r="S48" s="50"/>
      <c r="T48" s="50"/>
      <c r="U48" s="50"/>
      <c r="V48" s="50"/>
      <c r="W48" s="50"/>
      <c r="X48" s="50"/>
      <c r="Y48" s="50"/>
      <c r="Z48" s="50"/>
    </row>
    <row r="49" spans="1:26" s="50" customFormat="1" ht="15.75" customHeight="1" outlineLevel="1">
      <c r="A49" s="233"/>
      <c r="B49" s="366"/>
      <c r="C49" s="234"/>
      <c r="D49" s="235"/>
      <c r="E49" s="237"/>
      <c r="F49" s="56"/>
    </row>
    <row r="50" spans="1:26" s="50" customFormat="1" ht="21.75" customHeight="1" thickBot="1">
      <c r="A50" s="59" t="s">
        <v>535</v>
      </c>
      <c r="B50" s="359"/>
      <c r="C50" s="49"/>
      <c r="D50" s="49"/>
      <c r="E50" s="49"/>
      <c r="F50" s="49"/>
    </row>
    <row r="51" spans="1:26" ht="33.200000000000003" customHeight="1" outlineLevel="1">
      <c r="A51" s="340" t="s">
        <v>58</v>
      </c>
      <c r="B51" s="360" t="s">
        <v>11</v>
      </c>
      <c r="C51" s="341" t="s">
        <v>9</v>
      </c>
      <c r="D51" s="341" t="s">
        <v>510</v>
      </c>
      <c r="E51" s="341" t="s">
        <v>1</v>
      </c>
      <c r="F51" s="89" t="s">
        <v>511</v>
      </c>
      <c r="G51" s="50"/>
      <c r="H51" s="50"/>
      <c r="I51" s="50"/>
      <c r="J51" s="50"/>
      <c r="K51" s="50"/>
      <c r="L51" s="50"/>
      <c r="M51" s="50"/>
      <c r="N51" s="50"/>
      <c r="O51" s="50"/>
      <c r="P51" s="50"/>
      <c r="Q51" s="50"/>
      <c r="R51" s="50"/>
      <c r="S51" s="50"/>
      <c r="T51" s="50"/>
      <c r="U51" s="50"/>
      <c r="V51" s="50"/>
      <c r="W51" s="50"/>
      <c r="X51" s="50"/>
      <c r="Y51" s="50"/>
      <c r="Z51" s="50"/>
    </row>
    <row r="52" spans="1:26" ht="83.25" customHeight="1" outlineLevel="1">
      <c r="A52" s="342" t="s">
        <v>461</v>
      </c>
      <c r="B52" s="361" t="s">
        <v>777</v>
      </c>
      <c r="C52" s="34"/>
      <c r="D52" s="34"/>
      <c r="E52" s="166" t="str">
        <f>IF(D52=B101,0.5,IF(D52=C101,0,""))</f>
        <v/>
      </c>
      <c r="F52" s="92" t="s">
        <v>505</v>
      </c>
      <c r="G52" s="50"/>
      <c r="H52" s="50"/>
      <c r="I52" s="50"/>
      <c r="J52" s="50"/>
      <c r="K52" s="50"/>
      <c r="L52" s="50"/>
      <c r="M52" s="50"/>
      <c r="N52" s="50"/>
      <c r="O52" s="50"/>
      <c r="P52" s="50"/>
      <c r="Q52" s="50"/>
      <c r="R52" s="50"/>
      <c r="S52" s="50"/>
      <c r="T52" s="50"/>
      <c r="U52" s="50"/>
      <c r="V52" s="50"/>
      <c r="W52" s="50"/>
      <c r="X52" s="50"/>
      <c r="Y52" s="50"/>
      <c r="Z52" s="50"/>
    </row>
    <row r="53" spans="1:26" ht="75" outlineLevel="1">
      <c r="A53" s="342" t="s">
        <v>523</v>
      </c>
      <c r="B53" s="182" t="s">
        <v>778</v>
      </c>
      <c r="C53" s="32"/>
      <c r="D53" s="30"/>
      <c r="E53" s="166" t="str">
        <f t="shared" ref="E53:E55" si="1">IF(D53=B102,0.5,IF(D53=C102,0,""))</f>
        <v/>
      </c>
      <c r="F53" s="92" t="s">
        <v>505</v>
      </c>
      <c r="G53" s="50"/>
      <c r="H53" s="50"/>
      <c r="I53" s="50"/>
      <c r="J53" s="50"/>
      <c r="K53" s="50"/>
      <c r="L53" s="50"/>
      <c r="M53" s="50"/>
      <c r="N53" s="50"/>
      <c r="O53" s="50"/>
      <c r="P53" s="50"/>
      <c r="Q53" s="50"/>
      <c r="R53" s="50"/>
      <c r="S53" s="50"/>
      <c r="T53" s="50"/>
      <c r="U53" s="50"/>
      <c r="V53" s="50"/>
      <c r="W53" s="50"/>
      <c r="X53" s="50"/>
      <c r="Y53" s="50"/>
      <c r="Z53" s="50"/>
    </row>
    <row r="54" spans="1:26" ht="69.75" customHeight="1" outlineLevel="1">
      <c r="A54" s="342" t="s">
        <v>524</v>
      </c>
      <c r="B54" s="182" t="s">
        <v>779</v>
      </c>
      <c r="C54" s="32"/>
      <c r="D54" s="30"/>
      <c r="E54" s="166" t="str">
        <f t="shared" si="1"/>
        <v/>
      </c>
      <c r="F54" s="103" t="s">
        <v>57</v>
      </c>
      <c r="G54" s="50"/>
      <c r="H54" s="50"/>
      <c r="I54" s="50"/>
      <c r="J54" s="50"/>
      <c r="K54" s="50"/>
      <c r="L54" s="50"/>
      <c r="M54" s="50"/>
      <c r="N54" s="50"/>
      <c r="O54" s="50"/>
      <c r="P54" s="50"/>
      <c r="Q54" s="50"/>
      <c r="R54" s="50"/>
      <c r="S54" s="50"/>
      <c r="T54" s="50"/>
      <c r="U54" s="50"/>
      <c r="V54" s="50"/>
      <c r="W54" s="50"/>
      <c r="X54" s="50"/>
      <c r="Y54" s="50"/>
      <c r="Z54" s="50"/>
    </row>
    <row r="55" spans="1:26" ht="60.75" outlineLevel="1" thickBot="1">
      <c r="A55" s="73" t="s">
        <v>522</v>
      </c>
      <c r="B55" s="362" t="s">
        <v>780</v>
      </c>
      <c r="C55" s="74"/>
      <c r="D55" s="75"/>
      <c r="E55" s="171" t="str">
        <f t="shared" si="1"/>
        <v/>
      </c>
      <c r="F55" s="76" t="s">
        <v>505</v>
      </c>
      <c r="G55" s="50"/>
      <c r="H55" s="50"/>
      <c r="I55" s="50"/>
      <c r="J55" s="50"/>
      <c r="K55" s="50"/>
      <c r="L55" s="50"/>
      <c r="M55" s="50"/>
      <c r="N55" s="50"/>
      <c r="O55" s="50"/>
      <c r="P55" s="50"/>
      <c r="Q55" s="50"/>
      <c r="R55" s="50"/>
      <c r="S55" s="50"/>
      <c r="T55" s="50"/>
      <c r="U55" s="50"/>
      <c r="V55" s="50"/>
      <c r="W55" s="50"/>
      <c r="X55" s="50"/>
      <c r="Y55" s="50"/>
      <c r="Z55" s="50"/>
    </row>
    <row r="56" spans="1:26" s="50" customFormat="1" outlineLevel="1">
      <c r="A56" s="57"/>
      <c r="B56" s="365"/>
      <c r="C56" s="54"/>
      <c r="D56" s="55"/>
      <c r="E56" s="111"/>
      <c r="F56" s="102"/>
    </row>
    <row r="57" spans="1:26" s="50" customFormat="1" ht="21.75" thickBot="1">
      <c r="A57" s="59" t="s">
        <v>462</v>
      </c>
      <c r="B57" s="359"/>
      <c r="C57" s="49"/>
      <c r="D57" s="49"/>
      <c r="E57" s="49"/>
      <c r="F57" s="49"/>
    </row>
    <row r="58" spans="1:26" ht="38.25" customHeight="1" outlineLevel="1">
      <c r="A58" s="340" t="s">
        <v>58</v>
      </c>
      <c r="B58" s="360" t="s">
        <v>11</v>
      </c>
      <c r="C58" s="341" t="s">
        <v>9</v>
      </c>
      <c r="D58" s="341" t="s">
        <v>510</v>
      </c>
      <c r="E58" s="341" t="s">
        <v>1</v>
      </c>
      <c r="F58" s="89" t="s">
        <v>511</v>
      </c>
      <c r="G58" s="50"/>
      <c r="H58" s="50"/>
      <c r="I58" s="50"/>
      <c r="J58" s="50"/>
      <c r="K58" s="50"/>
      <c r="L58" s="50"/>
      <c r="M58" s="50"/>
      <c r="N58" s="50"/>
      <c r="O58" s="50"/>
      <c r="P58" s="50"/>
      <c r="Q58" s="50"/>
      <c r="R58" s="50"/>
      <c r="S58" s="50"/>
      <c r="T58" s="50"/>
      <c r="U58" s="50"/>
      <c r="V58" s="50"/>
      <c r="W58" s="50"/>
      <c r="X58" s="50"/>
      <c r="Y58" s="50"/>
      <c r="Z58" s="50"/>
    </row>
    <row r="59" spans="1:26" ht="72" customHeight="1" outlineLevel="1">
      <c r="A59" s="342" t="s">
        <v>592</v>
      </c>
      <c r="B59" s="182" t="s">
        <v>783</v>
      </c>
      <c r="C59" s="39"/>
      <c r="D59" s="33"/>
      <c r="E59" s="166" t="str">
        <f>IF(D59=B105,1,IF(D59=C105,0.5,IF(D59=D105,0,"")))</f>
        <v/>
      </c>
      <c r="F59" s="72" t="s">
        <v>505</v>
      </c>
      <c r="G59" s="50"/>
      <c r="H59" s="50"/>
      <c r="I59" s="50"/>
      <c r="J59" s="50"/>
      <c r="K59" s="50"/>
      <c r="L59" s="50"/>
      <c r="M59" s="50"/>
      <c r="N59" s="50"/>
      <c r="O59" s="50"/>
      <c r="P59" s="50"/>
      <c r="Q59" s="50"/>
      <c r="R59" s="50"/>
      <c r="S59" s="50"/>
      <c r="T59" s="50"/>
      <c r="U59" s="50"/>
      <c r="V59" s="50"/>
      <c r="W59" s="50"/>
      <c r="X59" s="50"/>
      <c r="Y59" s="50"/>
      <c r="Z59" s="50"/>
    </row>
    <row r="60" spans="1:26" ht="78" customHeight="1" outlineLevel="1">
      <c r="A60" s="342" t="s">
        <v>588</v>
      </c>
      <c r="B60" s="182" t="s">
        <v>865</v>
      </c>
      <c r="C60" s="32"/>
      <c r="D60" s="30"/>
      <c r="E60" s="166" t="str">
        <f>IF(D60=B106,1,IF(D60=C106,0.5,IF(D60=D106,0,"")))</f>
        <v/>
      </c>
      <c r="F60" s="72" t="s">
        <v>505</v>
      </c>
      <c r="G60" s="50"/>
      <c r="H60" s="50"/>
      <c r="I60" s="50"/>
      <c r="J60" s="50"/>
      <c r="K60" s="50"/>
      <c r="L60" s="50"/>
      <c r="M60" s="50"/>
      <c r="N60" s="50"/>
      <c r="O60" s="50"/>
      <c r="P60" s="50"/>
      <c r="Q60" s="50"/>
      <c r="R60" s="50"/>
      <c r="S60" s="50"/>
      <c r="T60" s="50"/>
      <c r="U60" s="50"/>
      <c r="V60" s="50"/>
      <c r="W60" s="50"/>
      <c r="X60" s="50"/>
      <c r="Y60" s="50"/>
      <c r="Z60" s="50"/>
    </row>
    <row r="61" spans="1:26" ht="69.2" customHeight="1" outlineLevel="1">
      <c r="A61" s="342" t="s">
        <v>589</v>
      </c>
      <c r="B61" s="182" t="s">
        <v>866</v>
      </c>
      <c r="C61" s="32"/>
      <c r="D61" s="30"/>
      <c r="E61" s="166" t="str">
        <f>IF(D61=B107,1,IF(D61=C107,0.5,IF(D61=D107,0,"")))</f>
        <v/>
      </c>
      <c r="F61" s="72" t="s">
        <v>505</v>
      </c>
      <c r="G61" s="50"/>
      <c r="H61" s="50"/>
      <c r="I61" s="50"/>
      <c r="J61" s="50"/>
      <c r="K61" s="50"/>
      <c r="L61" s="50"/>
      <c r="M61" s="50"/>
      <c r="N61" s="50"/>
      <c r="O61" s="50"/>
      <c r="P61" s="50"/>
      <c r="Q61" s="50"/>
      <c r="R61" s="50"/>
      <c r="S61" s="50"/>
      <c r="T61" s="50"/>
      <c r="U61" s="50"/>
      <c r="V61" s="50"/>
      <c r="W61" s="50"/>
      <c r="X61" s="50"/>
      <c r="Y61" s="50"/>
      <c r="Z61" s="50"/>
    </row>
    <row r="62" spans="1:26" ht="93.2" customHeight="1" outlineLevel="1">
      <c r="A62" s="342" t="s">
        <v>590</v>
      </c>
      <c r="B62" s="182" t="s">
        <v>867</v>
      </c>
      <c r="C62" s="32"/>
      <c r="D62" s="30"/>
      <c r="E62" s="166" t="str">
        <f>IF(D62=B108,1,IF(D62=C108,0.5,IF(D62=D108,0,"")))</f>
        <v/>
      </c>
      <c r="F62" s="72" t="s">
        <v>505</v>
      </c>
      <c r="G62" s="50"/>
      <c r="H62" s="50"/>
      <c r="I62" s="50"/>
      <c r="J62" s="50"/>
      <c r="K62" s="50"/>
      <c r="L62" s="50"/>
      <c r="M62" s="50"/>
      <c r="N62" s="50"/>
      <c r="O62" s="50"/>
      <c r="P62" s="50"/>
      <c r="Q62" s="50"/>
      <c r="R62" s="50"/>
      <c r="S62" s="50"/>
      <c r="T62" s="50"/>
      <c r="U62" s="50"/>
      <c r="V62" s="50"/>
      <c r="W62" s="50"/>
      <c r="X62" s="50"/>
      <c r="Y62" s="50"/>
      <c r="Z62" s="50"/>
    </row>
    <row r="63" spans="1:26" ht="49.5" customHeight="1" outlineLevel="1" thickBot="1">
      <c r="A63" s="73" t="s">
        <v>591</v>
      </c>
      <c r="B63" s="362" t="s">
        <v>530</v>
      </c>
      <c r="C63" s="74"/>
      <c r="D63" s="77"/>
      <c r="E63" s="171" t="str">
        <f>IF(D63=B109,1,IF(D63=C109,0.5,IF(D63=D109,0,"")))</f>
        <v/>
      </c>
      <c r="F63" s="76" t="s">
        <v>505</v>
      </c>
      <c r="G63" s="50"/>
      <c r="H63" s="50"/>
      <c r="I63" s="50"/>
      <c r="J63" s="50"/>
      <c r="K63" s="50"/>
      <c r="L63" s="50"/>
      <c r="M63" s="50"/>
      <c r="N63" s="50"/>
      <c r="O63" s="50"/>
      <c r="P63" s="50"/>
      <c r="Q63" s="50"/>
      <c r="R63" s="50"/>
      <c r="S63" s="50"/>
      <c r="T63" s="50"/>
      <c r="U63" s="50"/>
      <c r="V63" s="50"/>
      <c r="W63" s="50"/>
      <c r="X63" s="50"/>
      <c r="Y63" s="50"/>
      <c r="Z63" s="50"/>
    </row>
    <row r="64" spans="1:26" s="50" customFormat="1" ht="15.75" outlineLevel="1" thickBot="1">
      <c r="A64" s="57"/>
      <c r="B64" s="58"/>
      <c r="C64" s="54"/>
      <c r="D64" s="54"/>
      <c r="E64" s="117"/>
      <c r="F64" s="56"/>
      <c r="G64" s="79"/>
    </row>
    <row r="65" spans="1:26" hidden="1">
      <c r="A65" s="1" t="s">
        <v>281</v>
      </c>
      <c r="B65" s="1" t="s">
        <v>216</v>
      </c>
      <c r="G65" s="50"/>
      <c r="H65" s="50"/>
      <c r="I65" s="50"/>
      <c r="J65" s="50"/>
      <c r="K65" s="50"/>
      <c r="L65" s="50"/>
      <c r="M65" s="50"/>
      <c r="N65" s="50"/>
      <c r="O65" s="50"/>
      <c r="P65" s="50"/>
      <c r="Q65" s="50"/>
      <c r="R65" s="50"/>
      <c r="S65" s="50"/>
      <c r="T65" s="50"/>
      <c r="U65" s="50"/>
      <c r="V65" s="50"/>
      <c r="W65" s="50"/>
      <c r="X65" s="50"/>
      <c r="Y65" s="50"/>
      <c r="Z65" s="50"/>
    </row>
    <row r="66" spans="1:26" hidden="1" outlineLevel="1">
      <c r="G66" s="50"/>
      <c r="H66" s="50"/>
      <c r="I66" s="50"/>
      <c r="J66" s="50"/>
      <c r="K66" s="50"/>
      <c r="L66" s="50"/>
      <c r="M66" s="50"/>
      <c r="N66" s="50"/>
      <c r="O66" s="50"/>
      <c r="P66" s="50"/>
      <c r="Q66" s="50"/>
      <c r="R66" s="50"/>
      <c r="S66" s="50"/>
      <c r="T66" s="50"/>
      <c r="U66" s="50"/>
      <c r="V66" s="50"/>
      <c r="W66" s="50"/>
      <c r="X66" s="50"/>
      <c r="Y66" s="50"/>
      <c r="Z66" s="50"/>
    </row>
    <row r="67" spans="1:26" ht="15.75" hidden="1" outlineLevel="1" thickBot="1">
      <c r="D67" s="4" t="s">
        <v>403</v>
      </c>
      <c r="E67" s="15">
        <f>SUM(E24:E66)</f>
        <v>0</v>
      </c>
      <c r="G67" s="50"/>
      <c r="H67" s="50"/>
      <c r="I67" s="50"/>
      <c r="J67" s="50"/>
      <c r="K67" s="50"/>
      <c r="L67" s="50"/>
      <c r="M67" s="50"/>
      <c r="N67" s="50"/>
      <c r="O67" s="50"/>
      <c r="P67" s="50"/>
      <c r="Q67" s="50"/>
      <c r="R67" s="50"/>
      <c r="S67" s="50"/>
      <c r="T67" s="50"/>
      <c r="U67" s="50"/>
      <c r="V67" s="50"/>
      <c r="W67" s="50"/>
      <c r="X67" s="50"/>
      <c r="Y67" s="50"/>
      <c r="Z67" s="50"/>
    </row>
    <row r="68" spans="1:26" ht="15.75" hidden="1" outlineLevel="1" thickTop="1">
      <c r="G68" s="50"/>
      <c r="H68" s="50"/>
      <c r="I68" s="50"/>
      <c r="J68" s="50"/>
      <c r="K68" s="50"/>
      <c r="L68" s="50"/>
      <c r="M68" s="50"/>
      <c r="N68" s="50"/>
      <c r="O68" s="50"/>
      <c r="P68" s="50"/>
      <c r="Q68" s="50"/>
      <c r="R68" s="50"/>
      <c r="S68" s="50"/>
      <c r="T68" s="50"/>
      <c r="U68" s="50"/>
      <c r="V68" s="50"/>
      <c r="W68" s="50"/>
      <c r="X68" s="50"/>
      <c r="Y68" s="50"/>
      <c r="Z68" s="50"/>
    </row>
    <row r="69" spans="1:26" hidden="1">
      <c r="A69" s="1" t="s">
        <v>282</v>
      </c>
      <c r="B69" s="1" t="s">
        <v>331</v>
      </c>
      <c r="G69" s="50"/>
      <c r="H69" s="50"/>
      <c r="I69" s="50"/>
      <c r="J69" s="50"/>
      <c r="K69" s="50"/>
      <c r="L69" s="50"/>
      <c r="M69" s="50"/>
      <c r="N69" s="50"/>
      <c r="O69" s="50"/>
      <c r="P69" s="50"/>
      <c r="Q69" s="50"/>
      <c r="R69" s="50"/>
      <c r="S69" s="50"/>
      <c r="T69" s="50"/>
      <c r="U69" s="50"/>
      <c r="V69" s="50"/>
      <c r="W69" s="50"/>
      <c r="X69" s="50"/>
      <c r="Y69" s="50"/>
      <c r="Z69" s="50"/>
    </row>
    <row r="70" spans="1:26" hidden="1" outlineLevel="1">
      <c r="G70" s="50"/>
      <c r="H70" s="50"/>
      <c r="I70" s="50"/>
      <c r="J70" s="50"/>
      <c r="K70" s="50"/>
      <c r="L70" s="50"/>
      <c r="M70" s="50"/>
      <c r="N70" s="50"/>
      <c r="O70" s="50"/>
      <c r="P70" s="50"/>
      <c r="Q70" s="50"/>
      <c r="R70" s="50"/>
      <c r="S70" s="50"/>
      <c r="T70" s="50"/>
      <c r="U70" s="50"/>
      <c r="V70" s="50"/>
      <c r="W70" s="50"/>
      <c r="X70" s="50"/>
      <c r="Y70" s="50"/>
      <c r="Z70" s="50"/>
    </row>
    <row r="71" spans="1:26" ht="15.75" hidden="1" outlineLevel="1" thickBot="1">
      <c r="D71" s="4" t="s">
        <v>404</v>
      </c>
      <c r="E71" s="17">
        <f>SUM(E52:E55)</f>
        <v>0</v>
      </c>
      <c r="G71" s="50"/>
      <c r="H71" s="50"/>
      <c r="I71" s="50"/>
      <c r="J71" s="50"/>
      <c r="K71" s="50"/>
      <c r="L71" s="50"/>
      <c r="M71" s="50"/>
      <c r="N71" s="50"/>
      <c r="O71" s="50"/>
      <c r="P71" s="50"/>
      <c r="Q71" s="50"/>
      <c r="R71" s="50"/>
      <c r="S71" s="50"/>
      <c r="T71" s="50"/>
      <c r="U71" s="50"/>
      <c r="V71" s="50"/>
      <c r="W71" s="50"/>
      <c r="X71" s="50"/>
      <c r="Y71" s="50"/>
      <c r="Z71" s="50"/>
    </row>
    <row r="72" spans="1:26" ht="15.75" hidden="1" outlineLevel="1" thickTop="1">
      <c r="D72" s="3"/>
      <c r="G72" s="50"/>
      <c r="H72" s="50"/>
      <c r="I72" s="50"/>
      <c r="J72" s="50"/>
      <c r="K72" s="50"/>
      <c r="L72" s="50"/>
      <c r="M72" s="50"/>
      <c r="N72" s="50"/>
      <c r="O72" s="50"/>
      <c r="P72" s="50"/>
      <c r="Q72" s="50"/>
      <c r="R72" s="50"/>
      <c r="S72" s="50"/>
      <c r="T72" s="50"/>
      <c r="U72" s="50"/>
      <c r="V72" s="50"/>
      <c r="W72" s="50"/>
      <c r="X72" s="50"/>
      <c r="Y72" s="50"/>
      <c r="Z72" s="50"/>
    </row>
    <row r="73" spans="1:26" hidden="1" outlineLevel="1">
      <c r="D73" s="3"/>
      <c r="G73" s="50"/>
      <c r="H73" s="50"/>
      <c r="I73" s="50"/>
      <c r="J73" s="50"/>
      <c r="K73" s="50"/>
      <c r="L73" s="50"/>
      <c r="M73" s="50"/>
      <c r="N73" s="50"/>
      <c r="O73" s="50"/>
      <c r="P73" s="50"/>
      <c r="Q73" s="50"/>
      <c r="R73" s="50"/>
      <c r="S73" s="50"/>
      <c r="T73" s="50"/>
      <c r="U73" s="50"/>
      <c r="V73" s="50"/>
      <c r="W73" s="50"/>
      <c r="X73" s="50"/>
      <c r="Y73" s="50"/>
      <c r="Z73" s="50"/>
    </row>
    <row r="74" spans="1:26" hidden="1">
      <c r="A74" s="1" t="s">
        <v>283</v>
      </c>
      <c r="B74" s="1" t="s">
        <v>336</v>
      </c>
      <c r="G74" s="50"/>
      <c r="H74" s="50"/>
      <c r="I74" s="50"/>
      <c r="J74" s="50"/>
      <c r="K74" s="50"/>
      <c r="L74" s="50"/>
      <c r="M74" s="50"/>
      <c r="N74" s="50"/>
      <c r="O74" s="50"/>
      <c r="P74" s="50"/>
      <c r="Q74" s="50"/>
      <c r="R74" s="50"/>
      <c r="S74" s="50"/>
      <c r="T74" s="50"/>
      <c r="U74" s="50"/>
      <c r="V74" s="50"/>
      <c r="W74" s="50"/>
      <c r="X74" s="50"/>
      <c r="Y74" s="50"/>
      <c r="Z74" s="50"/>
    </row>
    <row r="75" spans="1:26" hidden="1" outlineLevel="1">
      <c r="G75" s="50"/>
      <c r="H75" s="50"/>
      <c r="I75" s="50"/>
      <c r="J75" s="50"/>
      <c r="K75" s="50"/>
      <c r="L75" s="50"/>
      <c r="M75" s="50"/>
      <c r="N75" s="50"/>
      <c r="O75" s="50"/>
      <c r="P75" s="50"/>
      <c r="Q75" s="50"/>
      <c r="R75" s="50"/>
      <c r="S75" s="50"/>
      <c r="T75" s="50"/>
      <c r="U75" s="50"/>
      <c r="V75" s="50"/>
      <c r="W75" s="50"/>
      <c r="X75" s="50"/>
      <c r="Y75" s="50"/>
      <c r="Z75" s="50"/>
    </row>
    <row r="76" spans="1:26" ht="15.75" hidden="1" outlineLevel="1" thickBot="1">
      <c r="D76" s="4" t="s">
        <v>405</v>
      </c>
      <c r="E76" s="15">
        <f>SUM(E41:E75)</f>
        <v>0</v>
      </c>
      <c r="G76" s="50"/>
      <c r="H76" s="50"/>
      <c r="I76" s="50"/>
      <c r="J76" s="50"/>
      <c r="K76" s="50"/>
      <c r="L76" s="50"/>
      <c r="M76" s="50"/>
      <c r="N76" s="50"/>
      <c r="O76" s="50"/>
      <c r="P76" s="50"/>
      <c r="Q76" s="50"/>
      <c r="R76" s="50"/>
      <c r="S76" s="50"/>
      <c r="T76" s="50"/>
      <c r="U76" s="50"/>
      <c r="V76" s="50"/>
      <c r="W76" s="50"/>
      <c r="X76" s="50"/>
      <c r="Y76" s="50"/>
      <c r="Z76" s="50"/>
    </row>
    <row r="77" spans="1:26" ht="15.75" hidden="1" outlineLevel="1" thickTop="1">
      <c r="G77" s="50"/>
      <c r="H77" s="50"/>
      <c r="I77" s="50"/>
      <c r="J77" s="50"/>
      <c r="K77" s="50"/>
      <c r="L77" s="50"/>
      <c r="M77" s="50"/>
      <c r="N77" s="50"/>
      <c r="O77" s="50"/>
      <c r="P77" s="50"/>
      <c r="Q77" s="50"/>
      <c r="R77" s="50"/>
      <c r="S77" s="50"/>
      <c r="T77" s="50"/>
      <c r="U77" s="50"/>
      <c r="V77" s="50"/>
      <c r="W77" s="50"/>
      <c r="X77" s="50"/>
      <c r="Y77" s="50"/>
      <c r="Z77" s="50"/>
    </row>
    <row r="78" spans="1:26" ht="15.75" hidden="1" outlineLevel="1" thickBot="1">
      <c r="G78" s="50"/>
      <c r="H78" s="50"/>
      <c r="I78" s="50"/>
      <c r="J78" s="50"/>
      <c r="K78" s="50"/>
      <c r="L78" s="50"/>
      <c r="M78" s="50"/>
      <c r="N78" s="50"/>
      <c r="O78" s="50"/>
      <c r="P78" s="50"/>
      <c r="Q78" s="50"/>
      <c r="R78" s="50"/>
      <c r="S78" s="50"/>
      <c r="T78" s="50"/>
      <c r="U78" s="50"/>
      <c r="V78" s="50"/>
      <c r="W78" s="50"/>
      <c r="X78" s="50"/>
      <c r="Y78" s="50"/>
      <c r="Z78" s="50"/>
    </row>
    <row r="79" spans="1:26" ht="15.75" thickBot="1">
      <c r="B79" s="50"/>
      <c r="C79" s="50"/>
      <c r="D79" s="67" t="s">
        <v>480</v>
      </c>
      <c r="E79" s="335">
        <f>SUM(E24:E63)</f>
        <v>0</v>
      </c>
      <c r="G79" s="50"/>
      <c r="H79" s="50"/>
      <c r="I79" s="50"/>
      <c r="J79" s="50"/>
      <c r="K79" s="50"/>
      <c r="L79" s="50"/>
      <c r="M79" s="50"/>
      <c r="N79" s="50"/>
      <c r="O79" s="50"/>
      <c r="P79" s="50"/>
      <c r="Q79" s="50"/>
      <c r="R79" s="50"/>
      <c r="S79" s="50"/>
      <c r="T79" s="50"/>
      <c r="U79" s="50"/>
      <c r="V79" s="50"/>
      <c r="W79" s="50"/>
      <c r="X79" s="50"/>
      <c r="Y79" s="50"/>
      <c r="Z79" s="50"/>
    </row>
    <row r="80" spans="1:26" s="50" customFormat="1"/>
    <row r="81" spans="1:8" s="50" customFormat="1"/>
    <row r="82" spans="1:8" s="80" customFormat="1">
      <c r="B82" s="120"/>
      <c r="C82" s="118"/>
    </row>
    <row r="83" spans="1:8" s="80" customFormat="1" hidden="1">
      <c r="A83" s="257" t="s">
        <v>635</v>
      </c>
      <c r="B83" s="257" t="s">
        <v>600</v>
      </c>
      <c r="C83" s="257" t="s">
        <v>601</v>
      </c>
      <c r="D83" s="257" t="s">
        <v>602</v>
      </c>
      <c r="E83" s="333" t="s">
        <v>603</v>
      </c>
      <c r="F83" s="333" t="s">
        <v>909</v>
      </c>
      <c r="G83" s="333" t="s">
        <v>910</v>
      </c>
      <c r="H83" s="333" t="s">
        <v>918</v>
      </c>
    </row>
    <row r="84" spans="1:8" s="80" customFormat="1" hidden="1">
      <c r="A84" s="330" t="s">
        <v>442</v>
      </c>
      <c r="B84" s="330" t="s">
        <v>961</v>
      </c>
      <c r="C84" s="330" t="s">
        <v>906</v>
      </c>
      <c r="D84" s="329"/>
      <c r="E84" s="332"/>
      <c r="F84" s="332"/>
      <c r="G84" s="332"/>
      <c r="H84" s="332"/>
    </row>
    <row r="85" spans="1:8" s="80" customFormat="1" hidden="1">
      <c r="A85" s="331" t="s">
        <v>436</v>
      </c>
      <c r="B85" s="330" t="s">
        <v>454</v>
      </c>
      <c r="C85" s="330" t="s">
        <v>907</v>
      </c>
      <c r="D85" s="330" t="s">
        <v>908</v>
      </c>
      <c r="E85" s="332" t="s">
        <v>911</v>
      </c>
      <c r="F85" s="332" t="s">
        <v>912</v>
      </c>
      <c r="G85" s="332"/>
      <c r="H85" s="332"/>
    </row>
    <row r="86" spans="1:8" s="80" customFormat="1" hidden="1">
      <c r="A86" s="331" t="s">
        <v>434</v>
      </c>
      <c r="B86" s="330" t="s">
        <v>454</v>
      </c>
      <c r="C86" s="330" t="s">
        <v>913</v>
      </c>
      <c r="D86" s="330" t="s">
        <v>914</v>
      </c>
      <c r="E86" s="332" t="s">
        <v>915</v>
      </c>
      <c r="F86" s="332" t="s">
        <v>916</v>
      </c>
      <c r="G86" s="332" t="s">
        <v>917</v>
      </c>
      <c r="H86" s="332" t="s">
        <v>912</v>
      </c>
    </row>
    <row r="87" spans="1:8" s="80" customFormat="1" hidden="1">
      <c r="A87" s="331" t="s">
        <v>435</v>
      </c>
      <c r="B87" s="330" t="s">
        <v>919</v>
      </c>
      <c r="C87" s="330" t="s">
        <v>920</v>
      </c>
      <c r="D87" s="330" t="s">
        <v>921</v>
      </c>
      <c r="E87" s="332"/>
      <c r="F87" s="332"/>
      <c r="G87" s="332"/>
      <c r="H87" s="332"/>
    </row>
    <row r="88" spans="1:8" s="80" customFormat="1" hidden="1">
      <c r="A88" s="331" t="s">
        <v>422</v>
      </c>
      <c r="B88" s="330" t="s">
        <v>577</v>
      </c>
      <c r="C88" s="330" t="s">
        <v>922</v>
      </c>
      <c r="D88" s="330" t="s">
        <v>459</v>
      </c>
      <c r="E88" s="332"/>
      <c r="F88" s="332"/>
      <c r="G88" s="332"/>
      <c r="H88" s="332"/>
    </row>
    <row r="89" spans="1:8" s="80" customFormat="1" hidden="1">
      <c r="A89" s="331" t="s">
        <v>423</v>
      </c>
      <c r="B89" s="330" t="s">
        <v>577</v>
      </c>
      <c r="C89" s="330" t="s">
        <v>923</v>
      </c>
      <c r="D89" s="330" t="s">
        <v>924</v>
      </c>
      <c r="E89" s="332" t="s">
        <v>459</v>
      </c>
      <c r="F89" s="332"/>
      <c r="G89" s="332"/>
      <c r="H89" s="332"/>
    </row>
    <row r="90" spans="1:8" s="80" customFormat="1" hidden="1">
      <c r="A90" s="331" t="s">
        <v>424</v>
      </c>
      <c r="B90" s="330" t="s">
        <v>919</v>
      </c>
      <c r="C90" s="330" t="s">
        <v>921</v>
      </c>
      <c r="D90" s="329"/>
      <c r="E90" s="332"/>
      <c r="F90" s="332"/>
      <c r="G90" s="332"/>
      <c r="H90" s="332"/>
    </row>
    <row r="91" spans="1:8" s="80" customFormat="1" hidden="1">
      <c r="A91" s="331" t="s">
        <v>448</v>
      </c>
      <c r="B91" s="330" t="s">
        <v>460</v>
      </c>
      <c r="C91" s="330" t="s">
        <v>925</v>
      </c>
      <c r="D91" s="330" t="s">
        <v>926</v>
      </c>
      <c r="E91" s="332" t="s">
        <v>927</v>
      </c>
      <c r="F91" s="332" t="s">
        <v>1062</v>
      </c>
      <c r="G91" s="332" t="s">
        <v>928</v>
      </c>
      <c r="H91" s="332" t="s">
        <v>929</v>
      </c>
    </row>
    <row r="92" spans="1:8" s="80" customFormat="1" hidden="1">
      <c r="A92" s="331" t="s">
        <v>651</v>
      </c>
      <c r="B92" s="330" t="s">
        <v>570</v>
      </c>
      <c r="C92" s="330" t="s">
        <v>930</v>
      </c>
      <c r="D92" s="330" t="s">
        <v>931</v>
      </c>
      <c r="E92" s="332" t="s">
        <v>932</v>
      </c>
      <c r="F92" s="332"/>
      <c r="G92" s="332"/>
      <c r="H92" s="332"/>
    </row>
    <row r="93" spans="1:8" s="80" customFormat="1" hidden="1">
      <c r="A93" s="258" t="s">
        <v>428</v>
      </c>
      <c r="B93" s="257" t="s">
        <v>657</v>
      </c>
      <c r="C93" s="257" t="s">
        <v>658</v>
      </c>
      <c r="D93" s="329"/>
      <c r="E93" s="332"/>
      <c r="F93" s="332"/>
      <c r="G93" s="332"/>
      <c r="H93" s="332"/>
    </row>
    <row r="94" spans="1:8" s="80" customFormat="1" hidden="1">
      <c r="A94" s="258" t="s">
        <v>429</v>
      </c>
      <c r="B94" s="257" t="s">
        <v>770</v>
      </c>
      <c r="C94" s="257" t="s">
        <v>771</v>
      </c>
      <c r="D94" s="329"/>
      <c r="E94" s="332"/>
      <c r="F94" s="332"/>
      <c r="G94" s="332"/>
      <c r="H94" s="332"/>
    </row>
    <row r="95" spans="1:8" s="80" customFormat="1" hidden="1">
      <c r="A95" s="258" t="s">
        <v>437</v>
      </c>
      <c r="B95" s="257" t="s">
        <v>659</v>
      </c>
      <c r="C95" s="257" t="s">
        <v>660</v>
      </c>
      <c r="D95" s="329"/>
      <c r="E95" s="332"/>
      <c r="F95" s="332"/>
      <c r="G95" s="332"/>
      <c r="H95" s="332"/>
    </row>
    <row r="96" spans="1:8" s="80" customFormat="1" hidden="1">
      <c r="A96" s="258" t="s">
        <v>438</v>
      </c>
      <c r="B96" s="257" t="s">
        <v>933</v>
      </c>
      <c r="C96" s="257" t="s">
        <v>772</v>
      </c>
      <c r="D96" s="329"/>
      <c r="E96" s="332"/>
      <c r="F96" s="332"/>
      <c r="G96" s="332"/>
      <c r="H96" s="332"/>
    </row>
    <row r="97" spans="1:8" s="80" customFormat="1" hidden="1">
      <c r="A97" s="258" t="s">
        <v>439</v>
      </c>
      <c r="B97" s="257" t="s">
        <v>653</v>
      </c>
      <c r="C97" s="257" t="s">
        <v>654</v>
      </c>
      <c r="D97" s="329"/>
      <c r="E97" s="332"/>
      <c r="F97" s="332"/>
      <c r="G97" s="332"/>
      <c r="H97" s="332"/>
    </row>
    <row r="98" spans="1:8" s="80" customFormat="1" hidden="1">
      <c r="A98" s="263" t="s">
        <v>440</v>
      </c>
      <c r="B98" s="257" t="s">
        <v>655</v>
      </c>
      <c r="C98" s="257" t="s">
        <v>656</v>
      </c>
      <c r="D98" s="329"/>
      <c r="E98" s="332"/>
      <c r="F98" s="332"/>
      <c r="G98" s="332"/>
      <c r="H98" s="332"/>
    </row>
    <row r="99" spans="1:8" s="80" customFormat="1" hidden="1">
      <c r="A99" s="263" t="s">
        <v>444</v>
      </c>
      <c r="B99" s="257" t="s">
        <v>661</v>
      </c>
      <c r="C99" s="257" t="s">
        <v>935</v>
      </c>
      <c r="D99" s="329"/>
      <c r="E99" s="332"/>
      <c r="F99" s="332"/>
      <c r="G99" s="332"/>
      <c r="H99" s="332"/>
    </row>
    <row r="100" spans="1:8" s="80" customFormat="1" hidden="1">
      <c r="A100" s="258" t="s">
        <v>445</v>
      </c>
      <c r="B100" s="257" t="s">
        <v>775</v>
      </c>
      <c r="C100" s="257" t="s">
        <v>934</v>
      </c>
      <c r="D100" s="329"/>
      <c r="E100" s="332"/>
      <c r="F100" s="332"/>
      <c r="G100" s="332"/>
      <c r="H100" s="332"/>
    </row>
    <row r="101" spans="1:8" s="80" customFormat="1" hidden="1">
      <c r="A101" s="334" t="s">
        <v>675</v>
      </c>
      <c r="B101" s="332" t="s">
        <v>781</v>
      </c>
      <c r="C101" s="330" t="s">
        <v>936</v>
      </c>
      <c r="D101" s="329"/>
      <c r="E101" s="332"/>
      <c r="F101" s="332"/>
      <c r="G101" s="332"/>
      <c r="H101" s="332"/>
    </row>
    <row r="102" spans="1:8" s="80" customFormat="1" hidden="1">
      <c r="A102" s="331" t="s">
        <v>668</v>
      </c>
      <c r="B102" s="330" t="s">
        <v>937</v>
      </c>
      <c r="C102" s="330" t="s">
        <v>962</v>
      </c>
      <c r="D102" s="329"/>
      <c r="E102" s="332"/>
      <c r="F102" s="332"/>
      <c r="G102" s="332"/>
      <c r="H102" s="332"/>
    </row>
    <row r="103" spans="1:8" s="80" customFormat="1" hidden="1">
      <c r="A103" s="331" t="s">
        <v>669</v>
      </c>
      <c r="B103" s="330" t="s">
        <v>782</v>
      </c>
      <c r="C103" s="330" t="s">
        <v>938</v>
      </c>
      <c r="D103" s="329"/>
      <c r="E103" s="332"/>
      <c r="F103" s="332"/>
      <c r="G103" s="332"/>
      <c r="H103" s="332"/>
    </row>
    <row r="104" spans="1:8" s="80" customFormat="1" hidden="1">
      <c r="A104" s="331" t="s">
        <v>676</v>
      </c>
      <c r="B104" s="330" t="s">
        <v>939</v>
      </c>
      <c r="C104" s="330" t="s">
        <v>940</v>
      </c>
      <c r="D104" s="329"/>
      <c r="E104" s="332"/>
      <c r="F104" s="332"/>
      <c r="G104" s="332"/>
      <c r="H104" s="332"/>
    </row>
    <row r="105" spans="1:8" s="80" customFormat="1" hidden="1">
      <c r="A105" s="331" t="s">
        <v>941</v>
      </c>
      <c r="B105" s="330" t="s">
        <v>942</v>
      </c>
      <c r="C105" s="330" t="s">
        <v>943</v>
      </c>
      <c r="D105" s="330" t="s">
        <v>944</v>
      </c>
      <c r="E105" s="332"/>
      <c r="F105" s="332"/>
      <c r="G105" s="332"/>
      <c r="H105" s="332"/>
    </row>
    <row r="106" spans="1:8" s="80" customFormat="1" hidden="1">
      <c r="A106" s="331" t="s">
        <v>945</v>
      </c>
      <c r="B106" s="330" t="s">
        <v>946</v>
      </c>
      <c r="C106" s="330" t="s">
        <v>947</v>
      </c>
      <c r="D106" s="330" t="s">
        <v>784</v>
      </c>
      <c r="E106" s="332"/>
      <c r="F106" s="332"/>
      <c r="G106" s="332"/>
      <c r="H106" s="332"/>
    </row>
    <row r="107" spans="1:8" s="80" customFormat="1" hidden="1">
      <c r="A107" s="331" t="s">
        <v>949</v>
      </c>
      <c r="B107" s="330" t="s">
        <v>948</v>
      </c>
      <c r="C107" s="330" t="s">
        <v>785</v>
      </c>
      <c r="D107" s="330" t="s">
        <v>786</v>
      </c>
      <c r="E107" s="332"/>
      <c r="F107" s="332"/>
      <c r="G107" s="332"/>
      <c r="H107" s="332"/>
    </row>
    <row r="108" spans="1:8" s="80" customFormat="1" hidden="1">
      <c r="A108" s="331" t="s">
        <v>950</v>
      </c>
      <c r="B108" s="330" t="s">
        <v>787</v>
      </c>
      <c r="C108" s="330" t="s">
        <v>952</v>
      </c>
      <c r="D108" s="330" t="s">
        <v>953</v>
      </c>
      <c r="E108" s="332"/>
      <c r="F108" s="332"/>
      <c r="G108" s="332"/>
      <c r="H108" s="332"/>
    </row>
    <row r="109" spans="1:8" s="80" customFormat="1" hidden="1">
      <c r="A109" s="331" t="s">
        <v>951</v>
      </c>
      <c r="B109" s="330" t="s">
        <v>788</v>
      </c>
      <c r="C109" s="330" t="s">
        <v>954</v>
      </c>
      <c r="D109" s="330" t="s">
        <v>789</v>
      </c>
      <c r="E109" s="332"/>
      <c r="F109" s="332"/>
      <c r="G109" s="332"/>
      <c r="H109" s="332"/>
    </row>
    <row r="110" spans="1:8" s="80" customFormat="1" hidden="1">
      <c r="A110" s="328"/>
      <c r="B110" s="329"/>
      <c r="C110" s="329"/>
      <c r="D110" s="329"/>
      <c r="E110" s="332"/>
      <c r="F110" s="332"/>
      <c r="G110" s="332"/>
      <c r="H110" s="332"/>
    </row>
    <row r="111" spans="1:8" s="50" customFormat="1" ht="19.5" hidden="1" customHeight="1">
      <c r="A111" s="258"/>
      <c r="B111" s="257"/>
      <c r="C111" s="257"/>
      <c r="D111" s="257"/>
    </row>
    <row r="112" spans="1:8" s="50" customFormat="1"/>
    <row r="113" spans="1:26" s="50" customFormat="1"/>
    <row r="114" spans="1:26" s="50" customFormat="1">
      <c r="A114" s="258" t="s">
        <v>539</v>
      </c>
    </row>
    <row r="115" spans="1:26" s="50" customFormat="1"/>
    <row r="116" spans="1:26" s="50" customFormat="1"/>
    <row r="117" spans="1:26" s="50" customFormat="1"/>
    <row r="118" spans="1:26" s="50" customFormat="1"/>
    <row r="119" spans="1:26" s="50" customFormat="1"/>
    <row r="120" spans="1:26" s="50" customFormat="1"/>
    <row r="121" spans="1:26" s="50" customFormat="1"/>
    <row r="122" spans="1:26">
      <c r="A122" s="50"/>
      <c r="B122" s="50"/>
      <c r="C122" s="50"/>
      <c r="D122" s="50"/>
      <c r="E122" s="50"/>
      <c r="F122" s="50"/>
      <c r="G122" s="50"/>
      <c r="H122" s="50"/>
      <c r="I122" s="50"/>
      <c r="J122" s="50"/>
      <c r="K122" s="50"/>
      <c r="L122" s="50"/>
      <c r="M122" s="50"/>
      <c r="N122" s="50"/>
      <c r="O122" s="50"/>
      <c r="P122" s="50"/>
      <c r="Q122" s="50"/>
      <c r="R122" s="50"/>
      <c r="S122" s="50"/>
      <c r="T122" s="50"/>
      <c r="U122" s="50"/>
      <c r="V122" s="50"/>
      <c r="W122" s="50"/>
      <c r="X122" s="50"/>
      <c r="Y122" s="50"/>
      <c r="Z122" s="50"/>
    </row>
    <row r="123" spans="1:26">
      <c r="A123" s="50"/>
      <c r="B123" s="50"/>
      <c r="C123" s="50"/>
      <c r="D123" s="50"/>
      <c r="E123" s="50"/>
      <c r="F123" s="50"/>
      <c r="G123" s="50"/>
      <c r="H123" s="50"/>
      <c r="I123" s="50"/>
      <c r="J123" s="50"/>
      <c r="K123" s="50"/>
      <c r="L123" s="50"/>
      <c r="M123" s="50"/>
      <c r="N123" s="50"/>
      <c r="O123" s="50"/>
      <c r="P123" s="50"/>
      <c r="Q123" s="50"/>
      <c r="R123" s="50"/>
      <c r="S123" s="50"/>
      <c r="T123" s="50"/>
      <c r="U123" s="50"/>
      <c r="V123" s="50"/>
      <c r="W123" s="50"/>
      <c r="X123" s="50"/>
      <c r="Y123" s="50"/>
      <c r="Z123" s="50"/>
    </row>
    <row r="124" spans="1:26">
      <c r="A124" s="50"/>
      <c r="B124" s="50"/>
      <c r="C124" s="50"/>
      <c r="D124" s="50"/>
      <c r="E124" s="50"/>
      <c r="F124" s="50"/>
      <c r="G124" s="50"/>
      <c r="H124" s="50"/>
      <c r="I124" s="50"/>
      <c r="J124" s="50"/>
      <c r="K124" s="50"/>
      <c r="L124" s="50"/>
      <c r="M124" s="50"/>
      <c r="N124" s="50"/>
      <c r="O124" s="50"/>
      <c r="P124" s="50"/>
      <c r="Q124" s="50"/>
      <c r="R124" s="50"/>
      <c r="S124" s="50"/>
      <c r="T124" s="50"/>
      <c r="U124" s="50"/>
      <c r="V124" s="50"/>
      <c r="W124" s="50"/>
      <c r="X124" s="50"/>
      <c r="Y124" s="50"/>
      <c r="Z124" s="50"/>
    </row>
    <row r="125" spans="1:26">
      <c r="A125" s="50"/>
      <c r="B125" s="50"/>
      <c r="C125" s="50"/>
      <c r="D125" s="50"/>
      <c r="E125" s="50"/>
      <c r="F125" s="50"/>
      <c r="G125" s="50"/>
      <c r="H125" s="50"/>
      <c r="I125" s="50"/>
      <c r="J125" s="50"/>
      <c r="K125" s="50"/>
      <c r="L125" s="50"/>
      <c r="M125" s="50"/>
      <c r="N125" s="50"/>
      <c r="O125" s="50"/>
      <c r="P125" s="50"/>
      <c r="Q125" s="50"/>
      <c r="R125" s="50"/>
      <c r="S125" s="50"/>
      <c r="T125" s="50"/>
      <c r="U125" s="50"/>
      <c r="V125" s="50"/>
      <c r="W125" s="50"/>
      <c r="X125" s="50"/>
      <c r="Y125" s="50"/>
      <c r="Z125" s="50"/>
    </row>
    <row r="126" spans="1:26">
      <c r="A126" s="50"/>
      <c r="B126" s="50"/>
      <c r="C126" s="50"/>
      <c r="D126" s="50"/>
      <c r="E126" s="50"/>
      <c r="F126" s="50"/>
      <c r="G126" s="50"/>
      <c r="H126" s="50"/>
      <c r="I126" s="50"/>
      <c r="J126" s="50"/>
      <c r="K126" s="50"/>
      <c r="L126" s="50"/>
      <c r="M126" s="50"/>
      <c r="N126" s="50"/>
      <c r="O126" s="50"/>
      <c r="P126" s="50"/>
      <c r="Q126" s="50"/>
      <c r="R126" s="50"/>
      <c r="S126" s="50"/>
      <c r="T126" s="50"/>
      <c r="U126" s="50"/>
      <c r="V126" s="50"/>
      <c r="W126" s="50"/>
      <c r="X126" s="50"/>
      <c r="Y126" s="50"/>
      <c r="Z126" s="50"/>
    </row>
    <row r="127" spans="1:26">
      <c r="A127" s="50"/>
      <c r="B127" s="50"/>
      <c r="C127" s="50"/>
      <c r="D127" s="50"/>
      <c r="E127" s="50"/>
      <c r="F127" s="50"/>
      <c r="G127" s="50"/>
      <c r="H127" s="50"/>
      <c r="I127" s="50"/>
      <c r="J127" s="50"/>
      <c r="K127" s="50"/>
      <c r="L127" s="50"/>
      <c r="M127" s="50"/>
      <c r="N127" s="50"/>
      <c r="O127" s="50"/>
      <c r="P127" s="50"/>
      <c r="Q127" s="50"/>
      <c r="R127" s="50"/>
      <c r="S127" s="50"/>
      <c r="T127" s="50"/>
      <c r="U127" s="50"/>
      <c r="V127" s="50"/>
      <c r="W127" s="50"/>
      <c r="X127" s="50"/>
      <c r="Y127" s="50"/>
      <c r="Z127" s="50"/>
    </row>
    <row r="128" spans="1:26">
      <c r="A128" s="50"/>
      <c r="B128" s="50"/>
      <c r="C128" s="50"/>
      <c r="D128" s="50"/>
      <c r="E128" s="50"/>
      <c r="F128" s="50"/>
      <c r="G128" s="50"/>
      <c r="H128" s="50"/>
      <c r="I128" s="50"/>
      <c r="J128" s="50"/>
      <c r="K128" s="50"/>
      <c r="L128" s="50"/>
      <c r="M128" s="50"/>
      <c r="N128" s="50"/>
      <c r="O128" s="50"/>
      <c r="P128" s="50"/>
      <c r="Q128" s="50"/>
      <c r="R128" s="50"/>
      <c r="S128" s="50"/>
      <c r="T128" s="50"/>
      <c r="U128" s="50"/>
    </row>
    <row r="129" spans="1:21">
      <c r="A129" s="50"/>
      <c r="B129" s="50"/>
      <c r="C129" s="50"/>
      <c r="D129" s="50"/>
      <c r="E129" s="50"/>
      <c r="F129" s="50"/>
      <c r="G129" s="50"/>
      <c r="H129" s="50"/>
      <c r="I129" s="50"/>
      <c r="J129" s="50"/>
      <c r="K129" s="50"/>
      <c r="L129" s="50"/>
      <c r="M129" s="50"/>
      <c r="N129" s="50"/>
      <c r="O129" s="50"/>
      <c r="P129" s="50"/>
      <c r="Q129" s="50"/>
      <c r="R129" s="50"/>
      <c r="S129" s="50"/>
      <c r="T129" s="50"/>
      <c r="U129" s="50"/>
    </row>
    <row r="130" spans="1:21">
      <c r="A130" s="50"/>
      <c r="B130" s="50"/>
      <c r="C130" s="50"/>
      <c r="D130" s="50"/>
      <c r="E130" s="50"/>
      <c r="F130" s="50"/>
      <c r="G130" s="50"/>
      <c r="H130" s="50"/>
      <c r="I130" s="50"/>
      <c r="J130" s="50"/>
      <c r="K130" s="50"/>
      <c r="L130" s="50"/>
      <c r="M130" s="50"/>
      <c r="N130" s="50"/>
      <c r="O130" s="50"/>
      <c r="P130" s="50"/>
      <c r="Q130" s="50"/>
      <c r="R130" s="50"/>
      <c r="S130" s="50"/>
      <c r="T130" s="50"/>
      <c r="U130" s="50"/>
    </row>
    <row r="131" spans="1:21">
      <c r="A131" s="50"/>
      <c r="B131" s="50"/>
      <c r="C131" s="50"/>
      <c r="D131" s="50"/>
      <c r="E131" s="50"/>
      <c r="F131" s="50"/>
      <c r="G131" s="50"/>
      <c r="H131" s="50"/>
      <c r="I131" s="50"/>
      <c r="J131" s="50"/>
      <c r="K131" s="50"/>
      <c r="L131" s="50"/>
      <c r="M131" s="50"/>
      <c r="N131" s="50"/>
      <c r="O131" s="50"/>
      <c r="P131" s="50"/>
      <c r="Q131" s="50"/>
      <c r="R131" s="50"/>
      <c r="S131" s="50"/>
      <c r="T131" s="50"/>
      <c r="U131" s="50"/>
    </row>
    <row r="132" spans="1:21">
      <c r="A132" s="50"/>
      <c r="B132" s="50"/>
      <c r="C132" s="50"/>
      <c r="D132" s="50"/>
      <c r="E132" s="50"/>
      <c r="F132" s="50"/>
      <c r="G132" s="50"/>
      <c r="H132" s="50"/>
      <c r="I132" s="50"/>
      <c r="J132" s="50"/>
      <c r="K132" s="50"/>
      <c r="L132" s="50"/>
      <c r="M132" s="50"/>
      <c r="N132" s="50"/>
      <c r="O132" s="50"/>
      <c r="P132" s="50"/>
      <c r="Q132" s="50"/>
      <c r="R132" s="50"/>
      <c r="S132" s="50"/>
      <c r="T132" s="50"/>
      <c r="U132" s="50"/>
    </row>
    <row r="133" spans="1:21">
      <c r="A133" s="50"/>
      <c r="B133" s="50"/>
      <c r="C133" s="50"/>
      <c r="D133" s="50"/>
      <c r="E133" s="50"/>
      <c r="F133" s="50"/>
      <c r="G133" s="50"/>
      <c r="H133" s="50"/>
      <c r="I133" s="50"/>
      <c r="J133" s="50"/>
      <c r="K133" s="50"/>
      <c r="L133" s="50"/>
      <c r="M133" s="50"/>
      <c r="N133" s="50"/>
      <c r="O133" s="50"/>
      <c r="P133" s="50"/>
      <c r="Q133" s="50"/>
      <c r="R133" s="50"/>
      <c r="S133" s="50"/>
      <c r="T133" s="50"/>
      <c r="U133" s="50"/>
    </row>
    <row r="134" spans="1:21">
      <c r="A134" s="50"/>
      <c r="B134" s="50"/>
      <c r="C134" s="50"/>
      <c r="D134" s="50"/>
      <c r="E134" s="50"/>
      <c r="F134" s="50"/>
      <c r="G134" s="50"/>
      <c r="H134" s="50"/>
      <c r="I134" s="50"/>
      <c r="J134" s="50"/>
      <c r="K134" s="50"/>
      <c r="L134" s="50"/>
      <c r="M134" s="50"/>
      <c r="N134" s="50"/>
      <c r="O134" s="50"/>
      <c r="P134" s="50"/>
      <c r="Q134" s="50"/>
      <c r="R134" s="50"/>
      <c r="S134" s="50"/>
      <c r="T134" s="50"/>
      <c r="U134" s="50"/>
    </row>
    <row r="135" spans="1:21">
      <c r="A135" s="50"/>
      <c r="B135" s="50"/>
      <c r="C135" s="50"/>
      <c r="D135" s="50"/>
      <c r="E135" s="50"/>
      <c r="F135" s="50"/>
      <c r="G135" s="50"/>
      <c r="H135" s="50"/>
      <c r="I135" s="50"/>
      <c r="J135" s="50"/>
      <c r="K135" s="50"/>
      <c r="L135" s="50"/>
      <c r="M135" s="50"/>
      <c r="N135" s="50"/>
      <c r="O135" s="50"/>
      <c r="P135" s="50"/>
      <c r="Q135" s="50"/>
      <c r="R135" s="50"/>
      <c r="S135" s="50"/>
      <c r="T135" s="50"/>
      <c r="U135" s="50"/>
    </row>
    <row r="136" spans="1:21">
      <c r="A136" s="50"/>
      <c r="B136" s="50"/>
      <c r="C136" s="50"/>
      <c r="D136" s="50"/>
      <c r="E136" s="50"/>
      <c r="F136" s="50"/>
      <c r="G136" s="50"/>
      <c r="H136" s="50"/>
      <c r="I136" s="50"/>
      <c r="J136" s="50"/>
      <c r="K136" s="50"/>
      <c r="L136" s="50"/>
      <c r="M136" s="50"/>
      <c r="N136" s="50"/>
      <c r="O136" s="50"/>
      <c r="P136" s="50"/>
      <c r="Q136" s="50"/>
      <c r="R136" s="50"/>
      <c r="S136" s="50"/>
      <c r="T136" s="50"/>
      <c r="U136" s="50"/>
    </row>
    <row r="137" spans="1:21">
      <c r="A137" s="50"/>
      <c r="B137" s="50"/>
      <c r="C137" s="50"/>
      <c r="D137" s="50"/>
      <c r="E137" s="50"/>
      <c r="F137" s="50"/>
      <c r="G137" s="50"/>
      <c r="H137" s="50"/>
      <c r="I137" s="50"/>
      <c r="J137" s="50"/>
      <c r="K137" s="50"/>
      <c r="L137" s="50"/>
      <c r="M137" s="50"/>
      <c r="N137" s="50"/>
      <c r="O137" s="50"/>
      <c r="P137" s="50"/>
      <c r="Q137" s="50"/>
      <c r="R137" s="50"/>
      <c r="S137" s="50"/>
      <c r="T137" s="50"/>
      <c r="U137" s="50"/>
    </row>
    <row r="138" spans="1:21">
      <c r="A138" s="50"/>
      <c r="B138" s="50"/>
      <c r="C138" s="50"/>
      <c r="D138" s="50"/>
      <c r="E138" s="50"/>
      <c r="F138" s="50"/>
      <c r="G138" s="50"/>
      <c r="H138" s="50"/>
      <c r="I138" s="50"/>
      <c r="J138" s="50"/>
      <c r="K138" s="50"/>
      <c r="L138" s="50"/>
      <c r="M138" s="50"/>
      <c r="N138" s="50"/>
      <c r="O138" s="50"/>
      <c r="P138" s="50"/>
      <c r="Q138" s="50"/>
      <c r="R138" s="50"/>
      <c r="S138" s="50"/>
      <c r="T138" s="50"/>
      <c r="U138" s="50"/>
    </row>
  </sheetData>
  <sheetProtection algorithmName="SHA-512" hashValue="DRI4bvbE4LFX9pCdKhpKTUe/L9iu0ekWBhinKPxVs7+NEFzpXqXqjm/rsqbOlkWBOlHX+2AuJfZdTHMFfq1Ujg==" saltValue="CvpeDm8HFpJ9I+KmBRwKLA==" spinCount="100000" sheet="1" objects="1" scenarios="1"/>
  <customSheetViews>
    <customSheetView guid="{52A26A5D-FD00-480B-943F-DB06B537D6D8}" scale="90" hiddenRows="1" topLeftCell="A7">
      <selection activeCell="A17" sqref="A17"/>
      <rowBreaks count="1" manualBreakCount="1">
        <brk id="46" max="16383" man="1"/>
      </rowBreaks>
      <pageMargins left="0.7" right="0.7" top="0.75" bottom="0.75" header="0.3" footer="0.3"/>
      <pageSetup scale="43" orientation="landscape" r:id="rId1"/>
    </customSheetView>
    <customSheetView guid="{EF22FA0B-F747-41C1-93DE-56651BBC6020}" scale="70" hiddenRows="1">
      <selection activeCell="C35" sqref="C35"/>
      <rowBreaks count="1" manualBreakCount="1">
        <brk id="45" max="16383" man="1"/>
      </rowBreaks>
      <pageMargins left="0.7" right="0.7" top="0.75" bottom="0.75" header="0.3" footer="0.3"/>
      <pageSetup scale="43" orientation="landscape" r:id="rId2"/>
    </customSheetView>
  </customSheetViews>
  <mergeCells count="16">
    <mergeCell ref="A24:A26"/>
    <mergeCell ref="A30:A32"/>
    <mergeCell ref="A45:A48"/>
    <mergeCell ref="A41:A44"/>
    <mergeCell ref="A1:F1"/>
    <mergeCell ref="B12:C12"/>
    <mergeCell ref="B13:C13"/>
    <mergeCell ref="B14:C14"/>
    <mergeCell ref="B15:C15"/>
    <mergeCell ref="B11:D11"/>
    <mergeCell ref="B16:C16"/>
    <mergeCell ref="B17:C17"/>
    <mergeCell ref="B18:C18"/>
    <mergeCell ref="B19:C19"/>
    <mergeCell ref="B20:C20"/>
    <mergeCell ref="B21:C21"/>
  </mergeCells>
  <conditionalFormatting sqref="D26">
    <cfRule type="expression" dxfId="28" priority="2">
      <formula>"if($C$6=""Municipally Owned Utility"")"</formula>
    </cfRule>
  </conditionalFormatting>
  <dataValidations count="26">
    <dataValidation type="list" allowBlank="1" showInputMessage="1" showErrorMessage="1" sqref="D48">
      <formula1>$B$100:$D$100</formula1>
    </dataValidation>
    <dataValidation type="list" allowBlank="1" showInputMessage="1" showErrorMessage="1" sqref="D41">
      <formula1>$B$93:$D$93</formula1>
    </dataValidation>
    <dataValidation type="list" allowBlank="1" showInputMessage="1" showErrorMessage="1" sqref="D42">
      <formula1>$B$94:$D$94</formula1>
    </dataValidation>
    <dataValidation type="list" allowBlank="1" showInputMessage="1" showErrorMessage="1" sqref="D43">
      <formula1>$B$95:$D$95</formula1>
    </dataValidation>
    <dataValidation type="list" allowBlank="1" showInputMessage="1" showErrorMessage="1" sqref="D44">
      <formula1>$B$96:$D$96</formula1>
    </dataValidation>
    <dataValidation type="list" allowBlank="1" showInputMessage="1" showErrorMessage="1" sqref="D45">
      <formula1>$B$97:$D$97</formula1>
    </dataValidation>
    <dataValidation type="list" allowBlank="1" showInputMessage="1" showErrorMessage="1" sqref="D46">
      <formula1>$B$98:$D$98</formula1>
    </dataValidation>
    <dataValidation type="list" allowBlank="1" showInputMessage="1" showErrorMessage="1" sqref="D47">
      <formula1>$B$99:$D$99</formula1>
    </dataValidation>
    <dataValidation type="list" allowBlank="1" showInputMessage="1" showErrorMessage="1" sqref="D12:D13">
      <formula1>$B$84:$D$84</formula1>
    </dataValidation>
    <dataValidation type="list" allowBlank="1" showInputMessage="1" showErrorMessage="1" sqref="D52">
      <formula1>$B$101:$D$101</formula1>
    </dataValidation>
    <dataValidation type="list" allowBlank="1" showInputMessage="1" showErrorMessage="1" sqref="D60">
      <formula1>$B$106:$E$106</formula1>
    </dataValidation>
    <dataValidation type="list" allowBlank="1" showInputMessage="1" showErrorMessage="1" sqref="D61">
      <formula1>$B$107:$E$107</formula1>
    </dataValidation>
    <dataValidation type="list" allowBlank="1" showInputMessage="1" showErrorMessage="1" sqref="D59">
      <formula1>$B$105:$E$105</formula1>
    </dataValidation>
    <dataValidation type="list" allowBlank="1" showInputMessage="1" showErrorMessage="1" sqref="D62">
      <formula1>$B$108:$E$108</formula1>
    </dataValidation>
    <dataValidation type="list" allowBlank="1" showInputMessage="1" showErrorMessage="1" sqref="D63">
      <formula1>$B$109:$E$109</formula1>
    </dataValidation>
    <dataValidation type="list" allowBlank="1" showInputMessage="1" showErrorMessage="1" sqref="D55">
      <formula1>$B$104:$D$104</formula1>
    </dataValidation>
    <dataValidation type="list" allowBlank="1" showInputMessage="1" showErrorMessage="1" sqref="D36">
      <formula1>$B$91:$I$91</formula1>
    </dataValidation>
    <dataValidation type="list" allowBlank="1" showInputMessage="1" showErrorMessage="1" sqref="D37">
      <formula1>$B$92:$F$92</formula1>
    </dataValidation>
    <dataValidation type="list" allowBlank="1" showInputMessage="1" showErrorMessage="1" sqref="D53">
      <formula1>$B$102:$D$102</formula1>
    </dataValidation>
    <dataValidation type="list" allowBlank="1" showInputMessage="1" showErrorMessage="1" sqref="D54">
      <formula1>$B$103:$D$103</formula1>
    </dataValidation>
    <dataValidation type="list" allowBlank="1" showInputMessage="1" showErrorMessage="1" sqref="D30">
      <formula1>$B$88:$E$88</formula1>
    </dataValidation>
    <dataValidation type="list" allowBlank="1" showInputMessage="1" showErrorMessage="1" sqref="D32">
      <formula1>$B$90:$D$90</formula1>
    </dataValidation>
    <dataValidation type="list" allowBlank="1" showInputMessage="1" showErrorMessage="1" sqref="D26">
      <formula1>$B$87:$E$87</formula1>
    </dataValidation>
    <dataValidation type="list" allowBlank="1" showInputMessage="1" showErrorMessage="1" sqref="D24">
      <formula1>$B$85:$G$85</formula1>
    </dataValidation>
    <dataValidation type="list" allowBlank="1" showInputMessage="1" showErrorMessage="1" sqref="D31">
      <formula1>$B$89:$F$89</formula1>
    </dataValidation>
    <dataValidation type="list" allowBlank="1" showInputMessage="1" showErrorMessage="1" sqref="D25">
      <formula1>$B$86:$I$86</formula1>
    </dataValidation>
  </dataValidations>
  <hyperlinks>
    <hyperlink ref="E16" r:id="rId3" display="EIA Form 176 (2014)"/>
    <hyperlink ref="E18" r:id="rId4" display="EIA Form 826 (2014)"/>
    <hyperlink ref="E19" r:id="rId5" display="EIA Form 861 (2014)"/>
    <hyperlink ref="F54" r:id="rId6"/>
    <hyperlink ref="E20" r:id="rId7" display="EIA Form 176 (2014)"/>
    <hyperlink ref="E14" r:id="rId8" display="EIA Form 826 (2014)"/>
    <hyperlink ref="E15" r:id="rId9" display="EIA Form 861 (2014)"/>
  </hyperlinks>
  <pageMargins left="0.7" right="0.7" top="0.75" bottom="0.75" header="0.3" footer="0.3"/>
  <pageSetup scale="43" orientation="landscape" r:id="rId10"/>
  <rowBreaks count="1" manualBreakCount="1">
    <brk id="49" max="16383" man="1"/>
  </rowBreaks>
  <drawing r:id="rId11"/>
  <legacyDrawing r:id="rId12"/>
  <tableParts count="1">
    <tablePart r:id="rId13"/>
  </tablePar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outlinePr summaryBelow="0" summaryRight="0"/>
  </sheetPr>
  <dimension ref="A1:W123"/>
  <sheetViews>
    <sheetView zoomScale="80" zoomScaleNormal="80" workbookViewId="0">
      <selection activeCell="A2" sqref="A2"/>
    </sheetView>
  </sheetViews>
  <sheetFormatPr defaultColWidth="9.140625" defaultRowHeight="15" outlineLevelRow="1"/>
  <cols>
    <col min="1" max="1" width="42.28515625" style="2" customWidth="1"/>
    <col min="2" max="2" width="50.5703125" style="2" customWidth="1"/>
    <col min="3" max="3" width="38.42578125" style="2" customWidth="1"/>
    <col min="4" max="4" width="60.28515625" style="2" customWidth="1"/>
    <col min="5" max="5" width="18.140625" style="2" customWidth="1"/>
    <col min="6" max="6" width="23.28515625" style="2" customWidth="1"/>
    <col min="7" max="10" width="11" style="2" customWidth="1"/>
    <col min="11" max="11" width="21.140625" style="2" bestFit="1" customWidth="1"/>
    <col min="12" max="12" width="11" style="2" customWidth="1"/>
    <col min="13" max="16384" width="9.140625" style="2"/>
  </cols>
  <sheetData>
    <row r="1" spans="1:19" ht="26.25">
      <c r="A1" s="408" t="s">
        <v>512</v>
      </c>
      <c r="B1" s="408"/>
      <c r="C1" s="408"/>
      <c r="D1" s="408"/>
      <c r="E1" s="408"/>
      <c r="F1" s="408"/>
      <c r="G1" s="79"/>
      <c r="H1" s="79"/>
      <c r="I1" s="79"/>
      <c r="J1" s="79"/>
      <c r="K1" s="79"/>
      <c r="L1" s="50"/>
      <c r="M1" s="50"/>
      <c r="N1" s="50"/>
      <c r="O1" s="50"/>
      <c r="P1" s="50"/>
      <c r="Q1" s="50"/>
      <c r="R1" s="50"/>
      <c r="S1" s="50"/>
    </row>
    <row r="2" spans="1:19" s="50" customFormat="1" ht="15.75" customHeight="1" thickBot="1">
      <c r="A2" s="61"/>
      <c r="B2" s="49"/>
      <c r="C2" s="62"/>
      <c r="D2" s="49"/>
      <c r="E2" s="49"/>
      <c r="F2" s="49"/>
      <c r="G2" s="79"/>
      <c r="H2" s="79"/>
      <c r="I2" s="79"/>
      <c r="J2" s="79"/>
      <c r="K2" s="79"/>
    </row>
    <row r="3" spans="1:19" s="5" customFormat="1" ht="29.25" customHeight="1">
      <c r="A3" s="86" t="s">
        <v>732</v>
      </c>
      <c r="B3" s="168" t="str">
        <f>SUM(E23:E58) &amp; " of 30 points"</f>
        <v>0 of 30 points</v>
      </c>
      <c r="C3" s="49"/>
      <c r="D3" s="52"/>
      <c r="E3" s="49"/>
      <c r="F3" s="50"/>
      <c r="G3" s="79"/>
      <c r="H3" s="79"/>
      <c r="I3" s="79"/>
      <c r="J3" s="79"/>
      <c r="K3" s="79"/>
      <c r="L3" s="50"/>
      <c r="M3" s="50"/>
      <c r="N3" s="50"/>
      <c r="O3" s="50"/>
      <c r="P3" s="50"/>
      <c r="Q3" s="50"/>
      <c r="R3" s="50"/>
      <c r="S3" s="50"/>
    </row>
    <row r="4" spans="1:19" s="5" customFormat="1" ht="19.5" customHeight="1">
      <c r="A4" s="87" t="s">
        <v>734</v>
      </c>
      <c r="B4" s="167" t="str">
        <f>SUM(E23:E25) &amp; " of " &amp; 4</f>
        <v>0 of 4</v>
      </c>
      <c r="C4" s="49"/>
      <c r="D4" s="52"/>
      <c r="E4" s="49"/>
      <c r="F4" s="50"/>
      <c r="G4" s="79"/>
      <c r="H4" s="79"/>
      <c r="I4" s="79"/>
      <c r="J4" s="79"/>
      <c r="K4" s="79"/>
      <c r="L4" s="50"/>
      <c r="M4" s="50"/>
      <c r="N4" s="50"/>
      <c r="O4" s="50"/>
      <c r="P4" s="50"/>
      <c r="Q4" s="50"/>
      <c r="R4" s="50"/>
      <c r="S4" s="50"/>
    </row>
    <row r="5" spans="1:19" s="5" customFormat="1" ht="17.25" customHeight="1">
      <c r="A5" s="87" t="s">
        <v>466</v>
      </c>
      <c r="B5" s="167" t="str">
        <f>SUM(E29:E31)   &amp; " of " &amp; 6</f>
        <v>0 of 6</v>
      </c>
      <c r="C5" s="49"/>
      <c r="D5" s="49"/>
      <c r="E5" s="49"/>
      <c r="F5" s="49"/>
      <c r="G5" s="79"/>
      <c r="H5" s="79"/>
      <c r="I5" s="79"/>
      <c r="J5" s="79"/>
      <c r="K5" s="79"/>
      <c r="L5" s="50"/>
      <c r="M5" s="50"/>
      <c r="N5" s="50"/>
      <c r="O5" s="50"/>
      <c r="P5" s="50"/>
      <c r="Q5" s="50"/>
      <c r="R5" s="50"/>
      <c r="S5" s="50"/>
    </row>
    <row r="6" spans="1:19" s="5" customFormat="1" ht="17.25" customHeight="1">
      <c r="A6" s="87" t="s">
        <v>465</v>
      </c>
      <c r="B6" s="167" t="str">
        <f>SUM(E35:E38)   &amp; " of " &amp;6</f>
        <v>0 of 6</v>
      </c>
      <c r="C6" s="49"/>
      <c r="D6" s="49"/>
      <c r="E6" s="49"/>
      <c r="F6" s="49"/>
      <c r="G6" s="79"/>
      <c r="H6" s="79"/>
      <c r="I6" s="79"/>
      <c r="J6" s="79"/>
      <c r="K6" s="79"/>
      <c r="L6" s="50"/>
      <c r="M6" s="50"/>
      <c r="N6" s="50"/>
      <c r="O6" s="50"/>
      <c r="P6" s="50"/>
      <c r="Q6" s="50"/>
      <c r="R6" s="50"/>
      <c r="S6" s="50"/>
    </row>
    <row r="7" spans="1:19" s="5" customFormat="1" ht="17.25" customHeight="1">
      <c r="A7" s="87" t="s">
        <v>413</v>
      </c>
      <c r="B7" s="167" t="str">
        <f>SUM(E42:E43)   &amp; " of " &amp; 5</f>
        <v>0 of 5</v>
      </c>
      <c r="C7" s="49"/>
      <c r="D7" s="49"/>
      <c r="E7" s="49"/>
      <c r="F7" s="49"/>
      <c r="G7" s="79"/>
      <c r="H7" s="79"/>
      <c r="I7" s="79"/>
      <c r="J7" s="79"/>
      <c r="K7" s="79"/>
      <c r="L7" s="50"/>
      <c r="M7" s="50"/>
      <c r="N7" s="50"/>
      <c r="O7" s="50"/>
      <c r="P7" s="50"/>
      <c r="Q7" s="50"/>
      <c r="R7" s="50"/>
      <c r="S7" s="50"/>
    </row>
    <row r="8" spans="1:19" s="5" customFormat="1" ht="17.25" customHeight="1">
      <c r="A8" s="87" t="s">
        <v>667</v>
      </c>
      <c r="B8" s="167" t="str">
        <f>SUM(E47:E49)   &amp; " of " &amp; 3</f>
        <v>0 of 3</v>
      </c>
      <c r="C8" s="49"/>
      <c r="D8" s="49"/>
      <c r="E8" s="49"/>
      <c r="F8" s="49"/>
      <c r="G8" s="79"/>
      <c r="H8" s="79"/>
      <c r="I8" s="79"/>
      <c r="J8" s="79"/>
      <c r="K8" s="79"/>
      <c r="L8" s="50"/>
      <c r="M8" s="50"/>
      <c r="N8" s="50"/>
      <c r="O8" s="50"/>
      <c r="P8" s="50"/>
      <c r="Q8" s="50"/>
      <c r="R8" s="50"/>
      <c r="S8" s="50"/>
    </row>
    <row r="9" spans="1:19" ht="19.5" customHeight="1">
      <c r="A9" s="222" t="s">
        <v>735</v>
      </c>
      <c r="B9" s="325" t="str">
        <f>SUM(E53:E54)   &amp; " of " &amp; 3</f>
        <v>0 of 3</v>
      </c>
      <c r="C9" s="226"/>
      <c r="D9" s="49"/>
      <c r="E9" s="49"/>
      <c r="F9" s="49"/>
      <c r="G9" s="79"/>
      <c r="H9" s="79"/>
      <c r="I9" s="79"/>
      <c r="J9" s="79"/>
      <c r="K9" s="79"/>
      <c r="L9" s="50"/>
      <c r="M9" s="50"/>
      <c r="N9" s="50"/>
      <c r="O9" s="50"/>
      <c r="P9" s="50"/>
      <c r="Q9" s="50"/>
      <c r="R9" s="50"/>
      <c r="S9" s="50"/>
    </row>
    <row r="10" spans="1:19" ht="32.25" thickBot="1">
      <c r="A10" s="296" t="s">
        <v>736</v>
      </c>
      <c r="B10" s="326" t="str">
        <f>SUM(E58) &amp; " of " &amp; 3</f>
        <v>0 of 3</v>
      </c>
      <c r="C10" s="50"/>
      <c r="D10" s="49"/>
      <c r="E10" s="49"/>
      <c r="F10" s="49"/>
      <c r="G10" s="79"/>
      <c r="H10" s="79"/>
      <c r="I10" s="79"/>
      <c r="J10" s="79"/>
      <c r="K10" s="79"/>
      <c r="L10" s="50"/>
      <c r="M10" s="50"/>
      <c r="N10" s="50"/>
      <c r="O10" s="50"/>
      <c r="P10" s="50"/>
      <c r="Q10" s="50"/>
      <c r="R10" s="50"/>
      <c r="S10" s="50"/>
    </row>
    <row r="11" spans="1:19" s="50" customFormat="1" ht="30" customHeight="1" thickBot="1">
      <c r="A11" s="60"/>
      <c r="B11" s="229"/>
      <c r="E11" s="49"/>
      <c r="F11" s="49"/>
      <c r="G11" s="79"/>
      <c r="H11" s="79"/>
      <c r="I11" s="79"/>
      <c r="J11" s="79"/>
      <c r="K11" s="79"/>
    </row>
    <row r="12" spans="1:19" s="5" customFormat="1" ht="21.75" hidden="1" thickBot="1">
      <c r="A12" s="53"/>
      <c r="B12" s="53"/>
      <c r="C12" s="53"/>
      <c r="D12" s="49"/>
      <c r="E12" s="49"/>
      <c r="F12" s="49"/>
      <c r="G12" s="79"/>
      <c r="H12" s="79"/>
      <c r="I12" s="79"/>
      <c r="J12" s="79"/>
      <c r="K12" s="79"/>
      <c r="L12" s="50"/>
      <c r="M12" s="50"/>
      <c r="N12" s="50"/>
      <c r="O12" s="50"/>
      <c r="P12" s="50"/>
      <c r="Q12" s="50"/>
      <c r="R12" s="50"/>
      <c r="S12" s="50"/>
    </row>
    <row r="13" spans="1:19" ht="30.75" thickBot="1">
      <c r="A13" s="57"/>
      <c r="B13" s="417" t="s">
        <v>496</v>
      </c>
      <c r="C13" s="418"/>
      <c r="D13" s="419"/>
      <c r="E13" s="18" t="s">
        <v>511</v>
      </c>
      <c r="F13" s="50"/>
      <c r="G13" s="79"/>
      <c r="H13" s="79"/>
      <c r="I13" s="79"/>
      <c r="J13" s="79"/>
      <c r="K13" s="79"/>
      <c r="L13" s="50"/>
      <c r="M13" s="50"/>
      <c r="N13" s="50"/>
      <c r="O13" s="50"/>
      <c r="P13" s="50"/>
      <c r="Q13" s="50"/>
      <c r="R13" s="50"/>
      <c r="S13" s="50"/>
    </row>
    <row r="14" spans="1:19" ht="30">
      <c r="A14" s="64"/>
      <c r="B14" s="438" t="s">
        <v>839</v>
      </c>
      <c r="C14" s="439"/>
      <c r="D14" s="191"/>
      <c r="E14" s="22" t="s">
        <v>558</v>
      </c>
      <c r="F14" s="49"/>
      <c r="G14" s="79"/>
      <c r="H14" s="79"/>
      <c r="I14" s="79"/>
      <c r="J14" s="79"/>
      <c r="K14" s="79"/>
      <c r="L14" s="50"/>
      <c r="M14" s="50"/>
      <c r="N14" s="50"/>
      <c r="O14" s="50"/>
      <c r="P14" s="50"/>
      <c r="Q14" s="50"/>
      <c r="R14" s="50"/>
      <c r="S14" s="50"/>
    </row>
    <row r="15" spans="1:19" ht="33.200000000000003" customHeight="1" thickBot="1">
      <c r="A15" s="64" t="s">
        <v>370</v>
      </c>
      <c r="B15" s="440" t="s">
        <v>868</v>
      </c>
      <c r="C15" s="441"/>
      <c r="D15" s="225"/>
      <c r="E15" s="22" t="s">
        <v>795</v>
      </c>
      <c r="F15" s="285"/>
      <c r="G15" s="79"/>
      <c r="H15" s="79"/>
      <c r="I15" s="79"/>
      <c r="J15" s="79"/>
      <c r="K15" s="79"/>
      <c r="L15" s="50"/>
      <c r="M15" s="50"/>
      <c r="N15" s="50"/>
      <c r="O15" s="50"/>
      <c r="P15" s="50"/>
      <c r="Q15" s="50"/>
      <c r="R15" s="50"/>
      <c r="S15" s="50"/>
    </row>
    <row r="16" spans="1:19">
      <c r="A16" s="64"/>
      <c r="B16" s="223"/>
      <c r="C16" s="223"/>
      <c r="D16" s="219"/>
      <c r="E16" s="302"/>
      <c r="F16" s="50"/>
      <c r="G16" s="79"/>
      <c r="H16" s="79"/>
      <c r="I16" s="79"/>
      <c r="J16" s="79"/>
      <c r="K16" s="79"/>
      <c r="L16" s="50"/>
      <c r="M16" s="50"/>
      <c r="N16" s="50"/>
      <c r="O16" s="50"/>
      <c r="P16" s="50"/>
      <c r="Q16" s="50"/>
      <c r="R16" s="50"/>
      <c r="S16" s="50"/>
    </row>
    <row r="17" spans="1:19" hidden="1">
      <c r="A17" s="64"/>
      <c r="B17" s="223"/>
      <c r="C17" s="223"/>
      <c r="D17" s="219"/>
      <c r="E17" s="224"/>
      <c r="F17" s="50"/>
      <c r="G17" s="79"/>
      <c r="H17" s="79"/>
      <c r="I17" s="79"/>
      <c r="J17" s="79"/>
      <c r="K17" s="79"/>
      <c r="L17" s="50"/>
      <c r="M17" s="50"/>
      <c r="N17" s="50"/>
      <c r="O17" s="50"/>
      <c r="P17" s="50"/>
      <c r="Q17" s="50"/>
      <c r="R17" s="50"/>
      <c r="S17" s="50"/>
    </row>
    <row r="18" spans="1:19" hidden="1">
      <c r="A18" s="64"/>
      <c r="B18" s="218"/>
      <c r="C18" s="218"/>
      <c r="D18" s="219"/>
      <c r="E18" s="220"/>
      <c r="F18" s="65"/>
      <c r="G18" s="79"/>
      <c r="H18" s="79"/>
      <c r="I18" s="79"/>
      <c r="J18" s="79"/>
      <c r="K18" s="79"/>
      <c r="L18" s="50"/>
      <c r="M18" s="50"/>
      <c r="N18" s="50"/>
      <c r="O18" s="50"/>
      <c r="P18" s="50"/>
      <c r="Q18" s="50"/>
      <c r="R18" s="50"/>
      <c r="S18" s="50"/>
    </row>
    <row r="19" spans="1:19" hidden="1">
      <c r="A19" s="64"/>
      <c r="B19" s="218"/>
      <c r="C19" s="218"/>
      <c r="D19" s="219"/>
      <c r="E19" s="220"/>
      <c r="F19" s="65"/>
      <c r="G19" s="79"/>
      <c r="H19" s="79"/>
      <c r="I19" s="79"/>
      <c r="J19" s="79"/>
      <c r="K19" s="79"/>
      <c r="L19" s="50"/>
      <c r="M19" s="50"/>
      <c r="N19" s="50"/>
      <c r="O19" s="50"/>
      <c r="P19" s="50"/>
      <c r="Q19" s="50"/>
      <c r="R19" s="50"/>
      <c r="S19" s="50"/>
    </row>
    <row r="20" spans="1:19">
      <c r="A20" s="64"/>
      <c r="B20" s="218"/>
      <c r="C20" s="218"/>
      <c r="D20" s="219"/>
      <c r="E20" s="220"/>
      <c r="F20" s="65"/>
      <c r="G20" s="79"/>
      <c r="H20" s="79"/>
      <c r="I20" s="79"/>
      <c r="J20" s="79"/>
      <c r="K20" s="79"/>
      <c r="L20" s="50"/>
      <c r="M20" s="50"/>
      <c r="N20" s="50"/>
      <c r="O20" s="50"/>
      <c r="P20" s="50"/>
      <c r="Q20" s="50"/>
      <c r="R20" s="50"/>
      <c r="S20" s="50"/>
    </row>
    <row r="21" spans="1:19" s="50" customFormat="1" ht="21.75" thickBot="1">
      <c r="A21" s="59" t="s">
        <v>737</v>
      </c>
      <c r="B21" s="49"/>
      <c r="C21" s="49"/>
      <c r="D21" s="49"/>
      <c r="E21" s="49"/>
      <c r="F21" s="49"/>
      <c r="G21" s="79"/>
      <c r="H21" s="79"/>
      <c r="I21" s="79"/>
      <c r="J21" s="79"/>
      <c r="K21" s="79"/>
    </row>
    <row r="22" spans="1:19" ht="30" outlineLevel="1">
      <c r="A22" s="214" t="s">
        <v>58</v>
      </c>
      <c r="B22" s="215" t="s">
        <v>11</v>
      </c>
      <c r="C22" s="215" t="s">
        <v>548</v>
      </c>
      <c r="D22" s="215" t="s">
        <v>550</v>
      </c>
      <c r="E22" s="215" t="s">
        <v>1</v>
      </c>
      <c r="F22" s="89" t="s">
        <v>511</v>
      </c>
      <c r="G22" s="79"/>
      <c r="H22" s="79"/>
      <c r="I22" s="79"/>
      <c r="J22" s="79"/>
      <c r="K22" s="79"/>
      <c r="L22" s="50"/>
      <c r="M22" s="50"/>
      <c r="N22" s="50"/>
      <c r="O22" s="50"/>
      <c r="P22" s="50"/>
      <c r="Q22" s="50"/>
      <c r="R22" s="50"/>
      <c r="S22" s="50"/>
    </row>
    <row r="23" spans="1:19" ht="91.5" customHeight="1" outlineLevel="1">
      <c r="A23" s="422" t="s">
        <v>733</v>
      </c>
      <c r="B23" s="182" t="s">
        <v>800</v>
      </c>
      <c r="C23" s="32"/>
      <c r="D23" s="30"/>
      <c r="E23" s="166" t="str">
        <f>IF(D23=B72,2,IF(D23=C72,1,IF(D23=D72,0,"")))</f>
        <v/>
      </c>
      <c r="F23" s="72" t="s">
        <v>505</v>
      </c>
      <c r="G23" s="79"/>
      <c r="H23" s="79"/>
      <c r="I23" s="79"/>
      <c r="J23" s="79"/>
      <c r="K23" s="79"/>
      <c r="L23" s="50"/>
      <c r="M23" s="50"/>
      <c r="N23" s="50"/>
      <c r="O23" s="50"/>
      <c r="P23" s="50"/>
      <c r="Q23" s="50"/>
      <c r="R23" s="50"/>
      <c r="S23" s="50"/>
    </row>
    <row r="24" spans="1:19" ht="67.5" customHeight="1" outlineLevel="1">
      <c r="A24" s="423"/>
      <c r="B24" s="182" t="s">
        <v>796</v>
      </c>
      <c r="C24" s="32"/>
      <c r="D24" s="30"/>
      <c r="E24" s="166" t="str">
        <f>IF(D24=B73,1,IF(D24=C73,0,""))</f>
        <v/>
      </c>
      <c r="F24" s="72" t="s">
        <v>505</v>
      </c>
      <c r="G24" s="79"/>
      <c r="H24" s="79"/>
      <c r="I24" s="79"/>
      <c r="J24" s="79"/>
      <c r="K24" s="79"/>
      <c r="L24" s="50"/>
      <c r="M24" s="50"/>
      <c r="N24" s="50"/>
      <c r="O24" s="50"/>
      <c r="P24" s="50"/>
      <c r="Q24" s="50"/>
      <c r="R24" s="50"/>
      <c r="S24" s="50"/>
    </row>
    <row r="25" spans="1:19" ht="67.5" customHeight="1" outlineLevel="1" thickBot="1">
      <c r="A25" s="423"/>
      <c r="B25" s="367" t="str">
        <f>IF(D24=B73,"Have your community's VMT reduction or GHG reduction targets for transportation been codified?","Not applicable")</f>
        <v>Not applicable</v>
      </c>
      <c r="C25" s="74"/>
      <c r="D25" s="155"/>
      <c r="E25" s="171" t="str">
        <f>IF(D25=B74,1,IF(D25=C74,0,""))</f>
        <v/>
      </c>
      <c r="F25" s="76" t="s">
        <v>505</v>
      </c>
      <c r="G25" s="79"/>
      <c r="H25" s="79"/>
      <c r="I25" s="79"/>
      <c r="J25" s="79"/>
      <c r="K25" s="79"/>
      <c r="L25" s="50"/>
      <c r="M25" s="50"/>
      <c r="N25" s="50"/>
      <c r="O25" s="50"/>
      <c r="P25" s="50"/>
      <c r="Q25" s="50"/>
      <c r="R25" s="50"/>
      <c r="S25" s="50"/>
    </row>
    <row r="26" spans="1:19" ht="21">
      <c r="A26" s="61"/>
      <c r="B26" s="359"/>
      <c r="C26" s="49"/>
      <c r="D26" s="49"/>
      <c r="E26" s="359"/>
      <c r="F26" s="49"/>
      <c r="G26" s="79"/>
      <c r="H26" s="79"/>
      <c r="I26" s="79"/>
      <c r="J26" s="79"/>
      <c r="K26" s="79"/>
      <c r="L26" s="50"/>
      <c r="M26" s="50"/>
      <c r="N26" s="50"/>
      <c r="O26" s="50"/>
      <c r="P26" s="50"/>
      <c r="Q26" s="50"/>
      <c r="R26" s="50"/>
      <c r="S26" s="50"/>
    </row>
    <row r="27" spans="1:19" s="5" customFormat="1" ht="21.75" thickBot="1">
      <c r="A27" s="44" t="s">
        <v>466</v>
      </c>
      <c r="B27" s="359"/>
      <c r="C27" s="49"/>
      <c r="D27" s="49"/>
      <c r="E27" s="359"/>
      <c r="F27" s="49"/>
      <c r="G27" s="79"/>
      <c r="H27" s="79"/>
      <c r="I27" s="79"/>
      <c r="J27" s="79"/>
      <c r="K27" s="79"/>
      <c r="L27" s="50"/>
      <c r="M27" s="50"/>
      <c r="N27" s="50"/>
      <c r="O27" s="50"/>
      <c r="P27" s="50"/>
      <c r="Q27" s="50"/>
      <c r="R27" s="50"/>
      <c r="S27" s="50"/>
    </row>
    <row r="28" spans="1:19" ht="21.75" customHeight="1" outlineLevel="1">
      <c r="A28" s="151" t="s">
        <v>58</v>
      </c>
      <c r="B28" s="360" t="s">
        <v>11</v>
      </c>
      <c r="C28" s="221" t="s">
        <v>547</v>
      </c>
      <c r="D28" s="221" t="s">
        <v>549</v>
      </c>
      <c r="E28" s="360" t="s">
        <v>1</v>
      </c>
      <c r="F28" s="89" t="s">
        <v>511</v>
      </c>
      <c r="G28" s="79"/>
      <c r="H28" s="79"/>
      <c r="I28" s="79"/>
      <c r="J28" s="79"/>
      <c r="K28" s="79"/>
      <c r="L28" s="50"/>
      <c r="M28" s="50"/>
      <c r="N28" s="50"/>
      <c r="O28" s="50"/>
      <c r="P28" s="50"/>
      <c r="Q28" s="50"/>
      <c r="R28" s="50"/>
      <c r="S28" s="50"/>
    </row>
    <row r="29" spans="1:19" ht="78.75" customHeight="1" outlineLevel="1">
      <c r="A29" s="148" t="s">
        <v>396</v>
      </c>
      <c r="B29" s="182" t="s">
        <v>740</v>
      </c>
      <c r="C29" s="32"/>
      <c r="D29" s="30"/>
      <c r="E29" s="166" t="str">
        <f>IF(D29=B76,2,IF(D29=C76,1.5,IF(D29=D76,1,IF(D29=E76,0.5,""))))</f>
        <v/>
      </c>
      <c r="F29" s="72" t="s">
        <v>505</v>
      </c>
      <c r="G29" s="79"/>
      <c r="H29" s="79"/>
      <c r="I29" s="79"/>
      <c r="J29" s="79"/>
      <c r="K29" s="79"/>
      <c r="L29" s="50"/>
      <c r="M29" s="50"/>
      <c r="N29" s="50"/>
      <c r="O29" s="50"/>
      <c r="P29" s="50"/>
      <c r="Q29" s="50"/>
      <c r="R29" s="50"/>
      <c r="S29" s="50"/>
    </row>
    <row r="30" spans="1:19" ht="45" outlineLevel="1">
      <c r="A30" s="148" t="s">
        <v>545</v>
      </c>
      <c r="B30" s="182" t="s">
        <v>532</v>
      </c>
      <c r="C30" s="34"/>
      <c r="D30" s="30"/>
      <c r="E30" s="166" t="str">
        <f>IF(D30=B77,2,IF(D30=C77,1,IF(D30=D77,0,"")))</f>
        <v/>
      </c>
      <c r="F30" s="103" t="s">
        <v>520</v>
      </c>
      <c r="G30" s="79"/>
      <c r="H30" s="79"/>
      <c r="I30" s="79"/>
      <c r="J30" s="79"/>
      <c r="K30" s="79"/>
      <c r="L30" s="50"/>
      <c r="M30" s="50"/>
      <c r="N30" s="50"/>
      <c r="O30" s="50"/>
      <c r="P30" s="50"/>
      <c r="Q30" s="50"/>
      <c r="R30" s="50"/>
      <c r="S30" s="50"/>
    </row>
    <row r="31" spans="1:19" ht="45.75" customHeight="1" outlineLevel="1" thickBot="1">
      <c r="A31" s="73" t="s">
        <v>546</v>
      </c>
      <c r="B31" s="367" t="s">
        <v>797</v>
      </c>
      <c r="C31" s="74"/>
      <c r="D31" s="155"/>
      <c r="E31" s="171" t="str">
        <f>IF(D31=B78,2,IF(D31=C78,1.5,IF(D31=D78,1,IF(D31=E78,0.5,IF(D31=F78,0,IF(D31="",""))))))</f>
        <v/>
      </c>
      <c r="F31" s="76" t="s">
        <v>505</v>
      </c>
      <c r="G31" s="79"/>
      <c r="H31" s="79"/>
      <c r="I31" s="79"/>
      <c r="J31" s="79"/>
      <c r="K31" s="79"/>
      <c r="L31" s="50"/>
      <c r="M31" s="50"/>
      <c r="N31" s="50"/>
      <c r="O31" s="50"/>
      <c r="P31" s="50"/>
      <c r="Q31" s="50"/>
      <c r="R31" s="50"/>
      <c r="S31" s="50"/>
    </row>
    <row r="32" spans="1:19" s="50" customFormat="1" outlineLevel="1">
      <c r="B32" s="368"/>
      <c r="E32" s="368"/>
      <c r="G32" s="79"/>
      <c r="H32" s="79"/>
      <c r="I32" s="79"/>
      <c r="J32" s="79"/>
      <c r="K32" s="79"/>
    </row>
    <row r="33" spans="1:23" s="50" customFormat="1" ht="21.75" thickBot="1">
      <c r="A33" s="59" t="s">
        <v>465</v>
      </c>
      <c r="B33" s="359"/>
      <c r="C33" s="49"/>
      <c r="D33" s="49"/>
      <c r="E33" s="359"/>
      <c r="F33" s="49"/>
      <c r="G33" s="79"/>
      <c r="H33" s="79"/>
      <c r="I33" s="79"/>
      <c r="J33" s="79"/>
      <c r="K33" s="79"/>
    </row>
    <row r="34" spans="1:23" outlineLevel="1">
      <c r="A34" s="157" t="s">
        <v>58</v>
      </c>
      <c r="B34" s="360" t="s">
        <v>11</v>
      </c>
      <c r="C34" s="158" t="s">
        <v>9</v>
      </c>
      <c r="D34" s="158" t="s">
        <v>510</v>
      </c>
      <c r="E34" s="360" t="s">
        <v>1</v>
      </c>
      <c r="F34" s="89" t="s">
        <v>511</v>
      </c>
      <c r="G34" s="79"/>
      <c r="H34" s="79"/>
      <c r="I34" s="79"/>
      <c r="J34" s="79"/>
      <c r="K34" s="79"/>
      <c r="L34" s="50"/>
      <c r="M34" s="50"/>
      <c r="N34" s="50"/>
      <c r="O34" s="50"/>
      <c r="P34" s="50"/>
      <c r="Q34" s="50"/>
      <c r="R34" s="50"/>
      <c r="S34" s="50"/>
    </row>
    <row r="35" spans="1:23" ht="45" outlineLevel="1">
      <c r="A35" s="398" t="s">
        <v>748</v>
      </c>
      <c r="B35" s="182" t="s">
        <v>749</v>
      </c>
      <c r="C35" s="30"/>
      <c r="D35" s="159"/>
      <c r="E35" s="166" t="str">
        <f>IF(D35=B80,1,IF(D35=C80,0.5,IF(D35=D80,0,"")))</f>
        <v/>
      </c>
      <c r="F35" s="72" t="s">
        <v>505</v>
      </c>
      <c r="G35" s="79"/>
      <c r="H35" s="79"/>
      <c r="I35" s="79"/>
      <c r="J35" s="79"/>
      <c r="K35" s="79"/>
      <c r="L35" s="50"/>
      <c r="M35" s="50"/>
      <c r="N35" s="50"/>
      <c r="O35" s="50"/>
      <c r="P35" s="50"/>
      <c r="Q35" s="50"/>
      <c r="R35" s="50"/>
      <c r="S35" s="50"/>
    </row>
    <row r="36" spans="1:23" ht="45" outlineLevel="1">
      <c r="A36" s="400"/>
      <c r="B36" s="182" t="s">
        <v>750</v>
      </c>
      <c r="C36" s="30"/>
      <c r="D36" s="159"/>
      <c r="E36" s="166" t="str">
        <f>IF(D36=B81,1,IF(D36=C81,0.5,IF(D36=D81,0,"")))</f>
        <v/>
      </c>
      <c r="F36" s="90" t="s">
        <v>843</v>
      </c>
      <c r="G36" s="79"/>
      <c r="H36" s="79"/>
      <c r="I36" s="79"/>
      <c r="J36" s="79"/>
      <c r="K36" s="79"/>
      <c r="L36" s="50"/>
      <c r="M36" s="50"/>
      <c r="N36" s="50"/>
      <c r="O36" s="50"/>
      <c r="P36" s="50"/>
      <c r="Q36" s="50"/>
      <c r="R36" s="50"/>
      <c r="S36" s="50"/>
    </row>
    <row r="37" spans="1:23" ht="60.75" customHeight="1" outlineLevel="1">
      <c r="A37" s="213" t="s">
        <v>682</v>
      </c>
      <c r="B37" s="182" t="s">
        <v>755</v>
      </c>
      <c r="C37" s="32"/>
      <c r="D37" s="30"/>
      <c r="E37" s="166" t="str">
        <f>IF(D37=B82,2,IF(D37=C82,1,IF(D37=D82,0,"")))</f>
        <v/>
      </c>
      <c r="F37" s="160" t="s">
        <v>505</v>
      </c>
      <c r="G37" s="79"/>
      <c r="H37" s="79"/>
      <c r="I37" s="79"/>
      <c r="J37" s="79"/>
      <c r="K37" s="79"/>
      <c r="L37" s="50"/>
      <c r="M37" s="50"/>
      <c r="N37" s="50"/>
      <c r="O37" s="50"/>
      <c r="P37" s="50"/>
      <c r="Q37" s="50"/>
      <c r="R37" s="50"/>
      <c r="S37" s="50"/>
    </row>
    <row r="38" spans="1:23" ht="66.75" customHeight="1" outlineLevel="1" thickBot="1">
      <c r="A38" s="148" t="s">
        <v>395</v>
      </c>
      <c r="B38" s="182" t="s">
        <v>841</v>
      </c>
      <c r="C38" s="35"/>
      <c r="D38" s="33"/>
      <c r="E38" s="166" t="str">
        <f>IF(D38=B83,2,IF(D38=C83,1.5,IF(D38=D83,1,IF(D38=E83,0.5,IF(D38=F83,0.5,IF(D38=G83,0,""))))))</f>
        <v/>
      </c>
      <c r="F38" s="105" t="s">
        <v>844</v>
      </c>
      <c r="G38" s="79"/>
      <c r="H38" s="79"/>
      <c r="I38" s="79"/>
      <c r="J38" s="79"/>
      <c r="K38" s="79"/>
      <c r="L38" s="50"/>
      <c r="M38" s="50"/>
      <c r="N38" s="50"/>
      <c r="O38" s="50"/>
      <c r="P38" s="50"/>
      <c r="Q38" s="50"/>
      <c r="R38" s="50"/>
      <c r="S38" s="50"/>
    </row>
    <row r="39" spans="1:23" s="50" customFormat="1" outlineLevel="1">
      <c r="A39" s="57"/>
      <c r="B39" s="358"/>
      <c r="C39" s="57"/>
      <c r="D39" s="57"/>
      <c r="E39" s="358"/>
      <c r="F39" s="99"/>
      <c r="G39" s="79"/>
      <c r="H39" s="79"/>
      <c r="I39" s="79"/>
      <c r="J39" s="79"/>
      <c r="K39" s="79"/>
    </row>
    <row r="40" spans="1:23" s="50" customFormat="1" ht="21.75" thickBot="1">
      <c r="A40" s="59" t="s">
        <v>413</v>
      </c>
      <c r="B40" s="359"/>
      <c r="C40" s="49"/>
      <c r="D40" s="49"/>
      <c r="E40" s="359"/>
      <c r="F40" s="49"/>
      <c r="G40" s="79"/>
      <c r="H40" s="79"/>
      <c r="I40" s="79"/>
      <c r="J40" s="79"/>
      <c r="K40" s="79"/>
    </row>
    <row r="41" spans="1:23" outlineLevel="1">
      <c r="A41" s="151" t="s">
        <v>58</v>
      </c>
      <c r="B41" s="360" t="s">
        <v>11</v>
      </c>
      <c r="C41" s="152" t="s">
        <v>9</v>
      </c>
      <c r="D41" s="152" t="s">
        <v>510</v>
      </c>
      <c r="E41" s="360" t="s">
        <v>1</v>
      </c>
      <c r="F41" s="89" t="s">
        <v>511</v>
      </c>
      <c r="G41" s="79"/>
      <c r="H41" s="79"/>
      <c r="I41" s="79"/>
      <c r="J41" s="79"/>
      <c r="K41" s="79"/>
      <c r="L41" s="50"/>
      <c r="M41" s="50"/>
      <c r="N41" s="50"/>
      <c r="O41" s="50"/>
      <c r="P41" s="50"/>
      <c r="Q41" s="50"/>
      <c r="R41" s="50"/>
      <c r="S41" s="50"/>
    </row>
    <row r="42" spans="1:23" ht="30" outlineLevel="1">
      <c r="A42" s="148" t="s">
        <v>509</v>
      </c>
      <c r="B42" s="182" t="s">
        <v>869</v>
      </c>
      <c r="C42" s="250" t="str">
        <f>IF(ISBLANK(D14),"",D14/D15)</f>
        <v/>
      </c>
      <c r="D42" s="33"/>
      <c r="E42" s="163" t="str">
        <f>IF(D42=B85,3,IF(D42=C85,2.5,IF(D42=D85,2,IF(D42=E85,1.5,IF(D42=F85,1,IF(D42=G85,0.5,IF(D42=H85,0,"")))))))</f>
        <v/>
      </c>
      <c r="F42" s="154" t="s">
        <v>521</v>
      </c>
      <c r="G42" s="79"/>
      <c r="H42" s="79"/>
      <c r="I42" s="79"/>
      <c r="J42" s="79"/>
      <c r="K42" s="79"/>
      <c r="L42" s="50"/>
      <c r="M42" s="50"/>
      <c r="N42" s="50"/>
      <c r="O42" s="50"/>
      <c r="P42" s="50"/>
      <c r="Q42" s="50"/>
      <c r="R42" s="50"/>
      <c r="S42" s="50"/>
    </row>
    <row r="43" spans="1:23" ht="35.25" customHeight="1" outlineLevel="1" thickBot="1">
      <c r="A43" s="73" t="s">
        <v>397</v>
      </c>
      <c r="B43" s="362" t="s">
        <v>259</v>
      </c>
      <c r="C43" s="153"/>
      <c r="D43" s="155"/>
      <c r="E43" s="171" t="str">
        <f>IF(D43=B86,2,IF(D43=C86,1.5,IF(D43=D86,1,IF(D43=E86,0.5,IF(D43=F86,0,"")))))</f>
        <v/>
      </c>
      <c r="F43" s="105" t="s">
        <v>672</v>
      </c>
      <c r="G43" s="79"/>
      <c r="H43" s="79"/>
      <c r="I43" s="79"/>
      <c r="J43" s="79"/>
      <c r="K43" s="79"/>
      <c r="L43" s="79"/>
      <c r="M43" s="79"/>
      <c r="N43" s="79"/>
      <c r="O43" s="79"/>
      <c r="P43" s="79"/>
      <c r="Q43" s="79"/>
      <c r="R43" s="79"/>
      <c r="S43" s="79"/>
      <c r="T43" s="79"/>
      <c r="U43" s="79"/>
      <c r="V43" s="79"/>
      <c r="W43" s="79"/>
    </row>
    <row r="44" spans="1:23">
      <c r="A44" s="50"/>
      <c r="B44" s="368"/>
      <c r="C44" s="50"/>
      <c r="D44" s="50"/>
      <c r="E44" s="368"/>
      <c r="F44" s="50"/>
      <c r="G44" s="79"/>
      <c r="H44" s="79"/>
      <c r="I44" s="79"/>
      <c r="J44" s="79"/>
      <c r="K44" s="79"/>
      <c r="L44" s="79"/>
      <c r="M44" s="79"/>
      <c r="N44" s="79"/>
      <c r="O44" s="79"/>
      <c r="P44" s="79"/>
      <c r="Q44" s="79"/>
      <c r="R44" s="79"/>
      <c r="S44" s="79"/>
      <c r="T44" s="79"/>
      <c r="U44" s="79"/>
      <c r="V44" s="79"/>
      <c r="W44" s="79"/>
    </row>
    <row r="45" spans="1:23" s="50" customFormat="1" ht="21.75" thickBot="1">
      <c r="A45" s="59" t="s">
        <v>667</v>
      </c>
      <c r="B45" s="359"/>
      <c r="C45" s="49"/>
      <c r="D45" s="49"/>
      <c r="E45" s="359"/>
      <c r="F45" s="49"/>
      <c r="G45" s="79"/>
      <c r="H45" s="79"/>
      <c r="I45" s="79"/>
      <c r="J45" s="79"/>
      <c r="K45" s="79"/>
      <c r="L45" s="79"/>
      <c r="M45" s="79"/>
      <c r="N45" s="79"/>
      <c r="O45" s="79"/>
      <c r="P45" s="79"/>
      <c r="Q45" s="79"/>
      <c r="R45" s="79"/>
      <c r="S45" s="79"/>
      <c r="T45" s="79"/>
      <c r="U45" s="79"/>
      <c r="V45" s="79"/>
      <c r="W45" s="79"/>
    </row>
    <row r="46" spans="1:23" outlineLevel="1">
      <c r="A46" s="151" t="s">
        <v>58</v>
      </c>
      <c r="B46" s="360" t="s">
        <v>11</v>
      </c>
      <c r="C46" s="152" t="s">
        <v>9</v>
      </c>
      <c r="D46" s="152" t="s">
        <v>510</v>
      </c>
      <c r="E46" s="360" t="s">
        <v>1</v>
      </c>
      <c r="F46" s="89" t="s">
        <v>511</v>
      </c>
      <c r="G46" s="79"/>
      <c r="H46" s="79"/>
      <c r="I46" s="79"/>
      <c r="J46" s="79"/>
      <c r="K46" s="79"/>
      <c r="L46" s="50"/>
      <c r="M46" s="50"/>
      <c r="N46" s="50"/>
      <c r="O46" s="50"/>
      <c r="P46" s="50"/>
      <c r="Q46" s="50"/>
      <c r="R46" s="50"/>
      <c r="S46" s="50"/>
    </row>
    <row r="47" spans="1:23" ht="45" outlineLevel="1">
      <c r="A47" s="150" t="s">
        <v>398</v>
      </c>
      <c r="B47" s="356" t="s">
        <v>758</v>
      </c>
      <c r="C47" s="32"/>
      <c r="D47" s="30"/>
      <c r="E47" s="166" t="str">
        <f>IF(D47=B88,1,IF(D47=C88,0,""))</f>
        <v/>
      </c>
      <c r="F47" s="92" t="s">
        <v>505</v>
      </c>
      <c r="G47" s="79"/>
      <c r="H47" s="79"/>
      <c r="I47" s="79"/>
      <c r="J47" s="79"/>
      <c r="K47" s="79"/>
      <c r="L47" s="79"/>
      <c r="M47" s="50"/>
      <c r="N47" s="50"/>
      <c r="O47" s="50"/>
      <c r="P47" s="50"/>
      <c r="Q47" s="50"/>
      <c r="R47" s="50"/>
      <c r="S47" s="50"/>
    </row>
    <row r="48" spans="1:23" ht="39.200000000000003" customHeight="1" outlineLevel="1">
      <c r="A48" s="150" t="s">
        <v>840</v>
      </c>
      <c r="B48" s="356" t="s">
        <v>871</v>
      </c>
      <c r="C48" s="32"/>
      <c r="D48" s="303"/>
      <c r="E48" s="166" t="str">
        <f>IF(D48=B89,1,IF(D48=C89,0.5,IF(D48=D89,0,"")))</f>
        <v/>
      </c>
      <c r="F48" s="22" t="s">
        <v>798</v>
      </c>
      <c r="G48" s="79"/>
      <c r="H48" s="79"/>
      <c r="I48" s="79"/>
      <c r="J48" s="79"/>
      <c r="K48" s="79"/>
      <c r="L48" s="79"/>
      <c r="M48" s="50"/>
      <c r="N48" s="50"/>
      <c r="O48" s="50"/>
      <c r="P48" s="50"/>
      <c r="Q48" s="50"/>
      <c r="R48" s="50"/>
      <c r="S48" s="50"/>
    </row>
    <row r="49" spans="1:19" ht="45.75" outlineLevel="1" thickBot="1">
      <c r="A49" s="149" t="s">
        <v>399</v>
      </c>
      <c r="B49" s="367" t="s">
        <v>870</v>
      </c>
      <c r="C49" s="74"/>
      <c r="D49" s="75"/>
      <c r="E49" s="171" t="str">
        <f>IF(D49=B90,1,IF(D49=C90,0,""))</f>
        <v/>
      </c>
      <c r="F49" s="76" t="s">
        <v>505</v>
      </c>
      <c r="G49" s="79"/>
      <c r="H49" s="79"/>
      <c r="I49" s="79"/>
      <c r="J49" s="79"/>
      <c r="K49" s="79"/>
      <c r="L49" s="79"/>
      <c r="M49" s="79"/>
      <c r="N49" s="79"/>
      <c r="O49" s="79"/>
      <c r="P49" s="50"/>
      <c r="Q49" s="50"/>
      <c r="R49" s="50"/>
      <c r="S49" s="50"/>
    </row>
    <row r="50" spans="1:19">
      <c r="A50" s="50"/>
      <c r="B50" s="368"/>
      <c r="C50" s="50"/>
      <c r="D50" s="50"/>
      <c r="E50" s="368"/>
      <c r="F50" s="50"/>
      <c r="H50" s="79"/>
      <c r="I50" s="79"/>
      <c r="J50" s="79"/>
      <c r="K50" s="79"/>
      <c r="L50" s="79"/>
      <c r="M50" s="79"/>
      <c r="N50" s="79"/>
      <c r="O50" s="79"/>
    </row>
    <row r="51" spans="1:19" s="50" customFormat="1" ht="21.75" thickBot="1">
      <c r="A51" s="59" t="s">
        <v>735</v>
      </c>
      <c r="B51" s="359"/>
      <c r="C51" s="49"/>
      <c r="D51" s="49"/>
      <c r="E51" s="359"/>
      <c r="F51" s="49"/>
      <c r="G51" s="79"/>
      <c r="H51" s="79"/>
      <c r="I51" s="79"/>
      <c r="J51" s="79"/>
      <c r="K51" s="79"/>
      <c r="L51" s="79"/>
      <c r="M51" s="79"/>
      <c r="N51" s="79"/>
      <c r="O51" s="79"/>
    </row>
    <row r="52" spans="1:19" outlineLevel="1">
      <c r="A52" s="294" t="s">
        <v>58</v>
      </c>
      <c r="B52" s="360" t="s">
        <v>11</v>
      </c>
      <c r="C52" s="295" t="s">
        <v>9</v>
      </c>
      <c r="D52" s="295" t="s">
        <v>510</v>
      </c>
      <c r="E52" s="360" t="s">
        <v>1</v>
      </c>
      <c r="F52" s="89" t="s">
        <v>511</v>
      </c>
      <c r="G52" s="79"/>
      <c r="H52" s="79"/>
      <c r="I52" s="79"/>
      <c r="J52" s="79"/>
      <c r="K52" s="79"/>
      <c r="L52" s="79"/>
      <c r="M52" s="79"/>
      <c r="N52" s="79"/>
      <c r="O52" s="79"/>
      <c r="P52" s="50"/>
      <c r="Q52" s="50"/>
      <c r="R52" s="50"/>
      <c r="S52" s="50"/>
    </row>
    <row r="53" spans="1:19" ht="75" outlineLevel="1">
      <c r="A53" s="293" t="s">
        <v>552</v>
      </c>
      <c r="B53" s="182" t="s">
        <v>762</v>
      </c>
      <c r="C53" s="32"/>
      <c r="D53" s="32"/>
      <c r="E53" s="166" t="str">
        <f>IF(D53=B92,2,IF(D53=C92,1,IF(D53=D92,0,"")))</f>
        <v/>
      </c>
      <c r="F53" s="72" t="s">
        <v>505</v>
      </c>
      <c r="G53" s="79"/>
      <c r="H53" s="79"/>
      <c r="I53" s="79"/>
      <c r="J53" s="79"/>
      <c r="K53" s="79"/>
      <c r="L53" s="50"/>
      <c r="M53" s="50"/>
      <c r="N53" s="50"/>
      <c r="O53" s="50"/>
      <c r="P53" s="50"/>
      <c r="Q53" s="50"/>
      <c r="R53" s="50"/>
      <c r="S53" s="50"/>
    </row>
    <row r="54" spans="1:19" ht="52.5" customHeight="1" outlineLevel="1" thickBot="1">
      <c r="A54" s="73" t="s">
        <v>1023</v>
      </c>
      <c r="B54" s="369" t="s">
        <v>842</v>
      </c>
      <c r="C54" s="228"/>
      <c r="D54" s="297"/>
      <c r="E54" s="370" t="str">
        <f>IF(D54=B93,1,IF(D54=C93,0,""))</f>
        <v/>
      </c>
      <c r="F54" s="298" t="s">
        <v>505</v>
      </c>
      <c r="G54" s="79"/>
      <c r="H54" s="79"/>
      <c r="I54" s="79"/>
      <c r="J54" s="79"/>
      <c r="K54" s="79"/>
      <c r="L54" s="79"/>
      <c r="M54" s="79"/>
      <c r="N54" s="79"/>
      <c r="O54" s="79"/>
      <c r="P54" s="79"/>
      <c r="Q54" s="79"/>
      <c r="R54" s="79"/>
      <c r="S54" s="79"/>
    </row>
    <row r="55" spans="1:19">
      <c r="A55" s="50"/>
      <c r="B55" s="368"/>
      <c r="C55" s="50"/>
      <c r="D55" s="50"/>
      <c r="E55" s="368"/>
      <c r="F55" s="227"/>
      <c r="G55" s="79"/>
      <c r="H55" s="79"/>
      <c r="I55" s="79"/>
      <c r="J55" s="79"/>
      <c r="K55" s="79"/>
      <c r="L55" s="79"/>
      <c r="M55" s="79"/>
      <c r="N55" s="79"/>
      <c r="O55" s="79"/>
      <c r="P55" s="79"/>
      <c r="Q55" s="79"/>
      <c r="R55" s="79"/>
      <c r="S55" s="79"/>
    </row>
    <row r="56" spans="1:19" s="50" customFormat="1" ht="21.75" thickBot="1">
      <c r="A56" s="59" t="s">
        <v>736</v>
      </c>
      <c r="B56" s="359"/>
      <c r="C56" s="49"/>
      <c r="D56" s="49"/>
      <c r="E56" s="359"/>
      <c r="F56" s="49"/>
      <c r="G56" s="79"/>
      <c r="H56" s="79"/>
      <c r="I56" s="79"/>
      <c r="J56" s="79"/>
      <c r="K56" s="79"/>
      <c r="L56" s="79"/>
      <c r="M56" s="79"/>
      <c r="N56" s="79"/>
      <c r="O56" s="79"/>
      <c r="P56" s="79"/>
      <c r="Q56" s="79"/>
      <c r="R56" s="79"/>
      <c r="S56" s="79"/>
    </row>
    <row r="57" spans="1:19" outlineLevel="1">
      <c r="A57" s="214" t="s">
        <v>58</v>
      </c>
      <c r="B57" s="360" t="s">
        <v>11</v>
      </c>
      <c r="C57" s="215" t="s">
        <v>9</v>
      </c>
      <c r="D57" s="215" t="s">
        <v>510</v>
      </c>
      <c r="E57" s="360" t="s">
        <v>1</v>
      </c>
      <c r="F57" s="89" t="s">
        <v>511</v>
      </c>
      <c r="G57" s="79"/>
      <c r="H57" s="79"/>
      <c r="I57" s="79"/>
      <c r="J57" s="79"/>
      <c r="K57" s="79"/>
      <c r="L57" s="79"/>
      <c r="M57" s="79"/>
      <c r="N57" s="79"/>
      <c r="O57" s="79"/>
      <c r="P57" s="79"/>
      <c r="Q57" s="79"/>
      <c r="R57" s="79"/>
      <c r="S57" s="79"/>
    </row>
    <row r="58" spans="1:19" ht="67.5" customHeight="1" outlineLevel="1" thickBot="1">
      <c r="A58" s="73" t="s">
        <v>586</v>
      </c>
      <c r="B58" s="362" t="s">
        <v>763</v>
      </c>
      <c r="C58" s="74"/>
      <c r="D58" s="74"/>
      <c r="E58" s="171" t="str">
        <f>IF(D58=B95,3,IF(D58=C95,2.5,IF(D58=D95,2,IF(D58=E95,1.5,IF(D58=F95,1,IF(D58=G95,0.5,IF(D58=H95,0,"")))))))</f>
        <v/>
      </c>
      <c r="F58" s="76" t="s">
        <v>505</v>
      </c>
      <c r="G58" s="79"/>
      <c r="H58" s="79"/>
      <c r="I58" s="79"/>
      <c r="J58" s="79"/>
      <c r="K58" s="79"/>
      <c r="L58" s="50"/>
      <c r="M58" s="50"/>
      <c r="N58" s="50"/>
      <c r="O58" s="50"/>
      <c r="P58" s="50"/>
      <c r="Q58" s="50"/>
      <c r="R58" s="50"/>
      <c r="S58" s="50"/>
    </row>
    <row r="59" spans="1:19" hidden="1" outlineLevel="1">
      <c r="A59" s="50"/>
      <c r="B59" s="50"/>
      <c r="C59" s="50"/>
      <c r="D59" s="50"/>
      <c r="E59" s="368"/>
      <c r="F59" s="50"/>
      <c r="G59" s="79"/>
      <c r="H59" s="79"/>
      <c r="I59" s="79"/>
      <c r="J59" s="79"/>
      <c r="K59" s="79"/>
      <c r="L59" s="50"/>
      <c r="M59" s="50"/>
      <c r="N59" s="50"/>
      <c r="O59" s="50"/>
      <c r="P59" s="50"/>
      <c r="Q59" s="50"/>
      <c r="R59" s="50"/>
      <c r="S59" s="50"/>
    </row>
    <row r="60" spans="1:19" hidden="1" outlineLevel="1">
      <c r="A60" s="50"/>
      <c r="B60" s="50"/>
      <c r="C60" s="50"/>
      <c r="D60" s="50"/>
      <c r="E60" s="368"/>
      <c r="F60" s="50"/>
      <c r="G60" s="79"/>
      <c r="H60" s="79"/>
      <c r="I60" s="79"/>
      <c r="J60" s="79"/>
      <c r="K60" s="79"/>
      <c r="L60" s="50"/>
      <c r="M60" s="50"/>
      <c r="N60" s="50"/>
      <c r="O60" s="50"/>
      <c r="P60" s="50"/>
      <c r="Q60" s="50"/>
      <c r="R60" s="50"/>
      <c r="S60" s="50"/>
    </row>
    <row r="61" spans="1:19" ht="15.75" outlineLevel="1" thickBot="1">
      <c r="A61" s="50"/>
      <c r="B61" s="116"/>
      <c r="C61" s="50"/>
      <c r="D61" s="50"/>
      <c r="E61" s="368"/>
      <c r="F61" s="50"/>
      <c r="G61" s="79"/>
      <c r="H61" s="79"/>
      <c r="I61" s="79"/>
      <c r="J61" s="79"/>
      <c r="K61" s="79"/>
      <c r="L61" s="50"/>
      <c r="M61" s="50"/>
      <c r="N61" s="50"/>
      <c r="O61" s="50"/>
      <c r="P61" s="50"/>
      <c r="Q61" s="50"/>
      <c r="R61" s="50"/>
      <c r="S61" s="50"/>
    </row>
    <row r="62" spans="1:19" ht="15.75" thickBot="1">
      <c r="A62" s="50"/>
      <c r="B62" s="50"/>
      <c r="C62" s="50"/>
      <c r="D62" s="183" t="s">
        <v>480</v>
      </c>
      <c r="E62" s="187">
        <f>SUM(E23:E58)</f>
        <v>0</v>
      </c>
      <c r="G62" s="79"/>
      <c r="H62" s="79"/>
      <c r="I62" s="79"/>
      <c r="J62" s="79"/>
      <c r="K62" s="79"/>
      <c r="L62" s="50"/>
      <c r="M62" s="50"/>
      <c r="N62" s="50"/>
      <c r="O62" s="50"/>
      <c r="P62" s="50"/>
      <c r="Q62" s="50"/>
      <c r="R62" s="50"/>
      <c r="S62" s="50"/>
    </row>
    <row r="63" spans="1:19" s="50" customFormat="1" ht="17.25" customHeight="1">
      <c r="A63" s="116"/>
      <c r="B63" s="116"/>
    </row>
    <row r="64" spans="1:19" s="50" customFormat="1"/>
    <row r="65" spans="1:6" s="50" customFormat="1">
      <c r="A65" s="281" t="s">
        <v>539</v>
      </c>
    </row>
    <row r="66" spans="1:6" s="50" customFormat="1">
      <c r="A66" s="57"/>
    </row>
    <row r="67" spans="1:6" s="50" customFormat="1">
      <c r="A67" s="57"/>
    </row>
    <row r="68" spans="1:6" s="50" customFormat="1">
      <c r="A68" s="57"/>
    </row>
    <row r="69" spans="1:6" s="50" customFormat="1" hidden="1">
      <c r="A69" s="300" t="s">
        <v>790</v>
      </c>
      <c r="B69" s="299"/>
      <c r="C69" s="301"/>
    </row>
    <row r="70" spans="1:6" s="50" customFormat="1" hidden="1">
      <c r="A70" s="257" t="s">
        <v>662</v>
      </c>
      <c r="B70" s="257" t="s">
        <v>600</v>
      </c>
      <c r="C70" s="257" t="s">
        <v>601</v>
      </c>
      <c r="D70" s="257" t="s">
        <v>602</v>
      </c>
      <c r="E70" s="257" t="s">
        <v>603</v>
      </c>
      <c r="F70" s="257" t="s">
        <v>663</v>
      </c>
    </row>
    <row r="71" spans="1:6" s="50" customFormat="1" hidden="1">
      <c r="A71" s="286" t="s">
        <v>664</v>
      </c>
      <c r="B71" s="285"/>
      <c r="C71" s="285"/>
      <c r="D71" s="285"/>
      <c r="E71" s="285"/>
      <c r="F71" s="257"/>
    </row>
    <row r="72" spans="1:6" s="50" customFormat="1" hidden="1">
      <c r="A72" s="285" t="s">
        <v>419</v>
      </c>
      <c r="B72" s="285" t="s">
        <v>801</v>
      </c>
      <c r="C72" s="285" t="s">
        <v>1037</v>
      </c>
      <c r="D72" s="285" t="s">
        <v>1038</v>
      </c>
      <c r="E72" s="285"/>
      <c r="F72" s="285"/>
    </row>
    <row r="73" spans="1:6" s="50" customFormat="1" hidden="1">
      <c r="A73" s="285" t="s">
        <v>436</v>
      </c>
      <c r="B73" s="285" t="s">
        <v>665</v>
      </c>
      <c r="C73" s="285" t="s">
        <v>666</v>
      </c>
      <c r="D73" s="285"/>
      <c r="E73" s="285"/>
      <c r="F73" s="285"/>
    </row>
    <row r="74" spans="1:6" s="50" customFormat="1" hidden="1">
      <c r="A74" s="285" t="s">
        <v>434</v>
      </c>
      <c r="B74" s="285" t="s">
        <v>738</v>
      </c>
      <c r="C74" s="285" t="s">
        <v>739</v>
      </c>
      <c r="D74" s="285"/>
      <c r="E74" s="285"/>
      <c r="F74" s="285"/>
    </row>
    <row r="75" spans="1:6" s="50" customFormat="1" hidden="1">
      <c r="A75" s="286" t="s">
        <v>466</v>
      </c>
      <c r="B75" s="285"/>
      <c r="C75" s="285"/>
      <c r="D75" s="285"/>
      <c r="E75" s="285"/>
      <c r="F75" s="285"/>
    </row>
    <row r="76" spans="1:6" s="50" customFormat="1" hidden="1">
      <c r="A76" s="257" t="s">
        <v>421</v>
      </c>
      <c r="B76" s="257" t="s">
        <v>741</v>
      </c>
      <c r="C76" s="257" t="s">
        <v>742</v>
      </c>
      <c r="D76" s="257" t="s">
        <v>743</v>
      </c>
      <c r="E76" s="257" t="s">
        <v>744</v>
      </c>
      <c r="F76" s="285"/>
    </row>
    <row r="77" spans="1:6" s="50" customFormat="1" hidden="1">
      <c r="A77" s="285" t="s">
        <v>422</v>
      </c>
      <c r="B77" s="285" t="s">
        <v>745</v>
      </c>
      <c r="C77" s="285" t="s">
        <v>746</v>
      </c>
      <c r="D77" s="285" t="s">
        <v>747</v>
      </c>
      <c r="E77" s="285"/>
      <c r="F77" s="257"/>
    </row>
    <row r="78" spans="1:6" s="50" customFormat="1" hidden="1">
      <c r="A78" s="285" t="s">
        <v>423</v>
      </c>
      <c r="B78" s="285" t="s">
        <v>1020</v>
      </c>
      <c r="C78" s="285" t="s">
        <v>1016</v>
      </c>
      <c r="D78" s="285" t="s">
        <v>1017</v>
      </c>
      <c r="E78" s="285" t="s">
        <v>1018</v>
      </c>
      <c r="F78" s="285" t="s">
        <v>1019</v>
      </c>
    </row>
    <row r="79" spans="1:6" s="50" customFormat="1" hidden="1">
      <c r="A79" s="286" t="s">
        <v>412</v>
      </c>
      <c r="B79" s="285"/>
      <c r="C79" s="285"/>
      <c r="D79" s="285"/>
      <c r="E79" s="285"/>
      <c r="F79" s="285"/>
    </row>
    <row r="80" spans="1:6" s="50" customFormat="1" hidden="1">
      <c r="A80" s="285" t="s">
        <v>443</v>
      </c>
      <c r="B80" s="285" t="s">
        <v>751</v>
      </c>
      <c r="C80" s="285" t="s">
        <v>752</v>
      </c>
      <c r="D80" s="285" t="s">
        <v>894</v>
      </c>
      <c r="E80" s="285"/>
      <c r="F80" s="285"/>
    </row>
    <row r="81" spans="1:8" s="50" customFormat="1" hidden="1">
      <c r="A81" s="285" t="s">
        <v>448</v>
      </c>
      <c r="B81" s="285" t="s">
        <v>753</v>
      </c>
      <c r="C81" s="285" t="s">
        <v>754</v>
      </c>
      <c r="D81" s="285" t="s">
        <v>895</v>
      </c>
      <c r="E81" s="285"/>
      <c r="F81" s="285"/>
    </row>
    <row r="82" spans="1:8" s="50" customFormat="1" hidden="1">
      <c r="A82" s="285" t="s">
        <v>651</v>
      </c>
      <c r="B82" s="285" t="s">
        <v>756</v>
      </c>
      <c r="C82" s="285" t="s">
        <v>757</v>
      </c>
      <c r="D82" s="285" t="s">
        <v>1055</v>
      </c>
      <c r="E82" s="285"/>
      <c r="F82" s="285"/>
    </row>
    <row r="83" spans="1:8" s="50" customFormat="1" hidden="1">
      <c r="A83" s="257" t="s">
        <v>426</v>
      </c>
      <c r="B83" s="257" t="s">
        <v>896</v>
      </c>
      <c r="C83" s="257" t="s">
        <v>1039</v>
      </c>
      <c r="D83" s="257" t="s">
        <v>1040</v>
      </c>
      <c r="E83" s="257" t="s">
        <v>1041</v>
      </c>
      <c r="F83" s="79" t="s">
        <v>897</v>
      </c>
      <c r="G83" s="50" t="s">
        <v>898</v>
      </c>
    </row>
    <row r="84" spans="1:8" s="50" customFormat="1" hidden="1">
      <c r="A84" s="286" t="s">
        <v>557</v>
      </c>
      <c r="B84" s="285"/>
      <c r="C84" s="285"/>
      <c r="D84" s="285"/>
      <c r="E84" s="285"/>
      <c r="F84" s="79"/>
    </row>
    <row r="85" spans="1:8" s="50" customFormat="1" hidden="1">
      <c r="A85" s="257" t="s">
        <v>429</v>
      </c>
      <c r="B85" s="257" t="s">
        <v>1042</v>
      </c>
      <c r="C85" s="285" t="s">
        <v>1043</v>
      </c>
      <c r="D85" s="285" t="s">
        <v>1044</v>
      </c>
      <c r="E85" s="257" t="s">
        <v>1045</v>
      </c>
      <c r="F85" s="257" t="s">
        <v>1046</v>
      </c>
      <c r="G85" s="50" t="s">
        <v>1047</v>
      </c>
      <c r="H85" s="50" t="s">
        <v>1048</v>
      </c>
    </row>
    <row r="86" spans="1:8" s="50" customFormat="1" hidden="1">
      <c r="A86" s="257" t="s">
        <v>437</v>
      </c>
      <c r="B86" s="257" t="s">
        <v>899</v>
      </c>
      <c r="C86" s="285" t="s">
        <v>555</v>
      </c>
      <c r="D86" s="285" t="s">
        <v>554</v>
      </c>
      <c r="E86" s="285" t="s">
        <v>553</v>
      </c>
      <c r="F86" s="285" t="s">
        <v>900</v>
      </c>
    </row>
    <row r="87" spans="1:8" s="50" customFormat="1" hidden="1">
      <c r="A87" s="258" t="s">
        <v>667</v>
      </c>
      <c r="B87" s="257"/>
      <c r="C87" s="257"/>
      <c r="D87" s="257"/>
      <c r="E87" s="257"/>
      <c r="F87" s="257"/>
    </row>
    <row r="88" spans="1:8" s="50" customFormat="1" hidden="1">
      <c r="A88" s="287" t="s">
        <v>444</v>
      </c>
      <c r="B88" s="257" t="s">
        <v>1049</v>
      </c>
      <c r="C88" s="257" t="s">
        <v>1050</v>
      </c>
      <c r="D88" s="257"/>
      <c r="E88" s="257"/>
      <c r="F88" s="257"/>
    </row>
    <row r="89" spans="1:8" s="50" customFormat="1" hidden="1">
      <c r="A89" s="285" t="s">
        <v>445</v>
      </c>
      <c r="B89" s="285" t="s">
        <v>901</v>
      </c>
      <c r="C89" s="285" t="s">
        <v>759</v>
      </c>
      <c r="D89" s="285" t="s">
        <v>1051</v>
      </c>
      <c r="E89" s="285"/>
      <c r="F89" s="79"/>
    </row>
    <row r="90" spans="1:8" s="50" customFormat="1" hidden="1">
      <c r="A90" s="287" t="s">
        <v>446</v>
      </c>
      <c r="B90" s="257" t="s">
        <v>760</v>
      </c>
      <c r="C90" s="285" t="s">
        <v>1054</v>
      </c>
      <c r="D90" s="285"/>
      <c r="E90" s="285"/>
      <c r="F90" s="285"/>
    </row>
    <row r="91" spans="1:8" s="50" customFormat="1" hidden="1">
      <c r="A91" s="258" t="s">
        <v>267</v>
      </c>
      <c r="B91" s="257"/>
      <c r="C91" s="285"/>
      <c r="D91" s="285"/>
      <c r="E91" s="285"/>
      <c r="F91" s="285"/>
    </row>
    <row r="92" spans="1:8" s="50" customFormat="1" hidden="1">
      <c r="A92" s="257" t="s">
        <v>668</v>
      </c>
      <c r="B92" s="257" t="s">
        <v>761</v>
      </c>
      <c r="C92" s="285" t="s">
        <v>1052</v>
      </c>
      <c r="D92" s="285" t="s">
        <v>902</v>
      </c>
      <c r="E92" s="285"/>
      <c r="F92" s="285"/>
    </row>
    <row r="93" spans="1:8" s="50" customFormat="1" hidden="1">
      <c r="A93" s="257" t="s">
        <v>669</v>
      </c>
      <c r="B93" s="257" t="s">
        <v>1053</v>
      </c>
      <c r="C93" s="257" t="s">
        <v>903</v>
      </c>
      <c r="D93" s="257"/>
      <c r="E93" s="257"/>
      <c r="F93" s="257"/>
    </row>
    <row r="94" spans="1:8" s="50" customFormat="1" hidden="1">
      <c r="A94" s="258" t="s">
        <v>670</v>
      </c>
      <c r="B94" s="257"/>
      <c r="C94" s="257"/>
      <c r="D94" s="2"/>
      <c r="E94" s="257"/>
      <c r="F94" s="257"/>
    </row>
    <row r="95" spans="1:8" s="50" customFormat="1" hidden="1">
      <c r="A95" s="257" t="s">
        <v>671</v>
      </c>
      <c r="B95" s="2" t="s">
        <v>1057</v>
      </c>
      <c r="C95" s="2" t="s">
        <v>806</v>
      </c>
      <c r="D95" s="2" t="s">
        <v>805</v>
      </c>
      <c r="E95" s="257" t="s">
        <v>804</v>
      </c>
      <c r="F95" s="257" t="s">
        <v>803</v>
      </c>
      <c r="G95" s="50" t="s">
        <v>1058</v>
      </c>
      <c r="H95" s="50" t="s">
        <v>802</v>
      </c>
    </row>
    <row r="96" spans="1:8" s="50" customFormat="1" hidden="1">
      <c r="A96" s="258"/>
      <c r="B96" s="257"/>
      <c r="C96" s="257"/>
      <c r="D96" s="2"/>
      <c r="E96" s="257"/>
      <c r="F96" s="257"/>
    </row>
    <row r="97" spans="1:6" s="50" customFormat="1" hidden="1"/>
    <row r="98" spans="1:6" s="50" customFormat="1">
      <c r="A98" s="121"/>
    </row>
    <row r="99" spans="1:6" s="50" customFormat="1"/>
    <row r="100" spans="1:6" s="50" customFormat="1"/>
    <row r="101" spans="1:6" s="50" customFormat="1"/>
    <row r="102" spans="1:6" s="50" customFormat="1"/>
    <row r="103" spans="1:6" s="50" customFormat="1"/>
    <row r="104" spans="1:6" s="50" customFormat="1"/>
    <row r="105" spans="1:6" s="50" customFormat="1"/>
    <row r="106" spans="1:6" s="50" customFormat="1">
      <c r="F106"/>
    </row>
    <row r="107" spans="1:6" s="50" customFormat="1"/>
    <row r="108" spans="1:6" s="50" customFormat="1"/>
    <row r="109" spans="1:6" s="50" customFormat="1"/>
    <row r="110" spans="1:6" s="50" customFormat="1"/>
    <row r="111" spans="1:6" s="50" customFormat="1"/>
    <row r="112" spans="1:6" s="50" customFormat="1"/>
    <row r="113" s="50" customFormat="1"/>
    <row r="114" s="50" customFormat="1"/>
    <row r="115" s="50" customFormat="1"/>
    <row r="116" s="50" customFormat="1"/>
    <row r="117" s="50" customFormat="1"/>
    <row r="118" s="50" customFormat="1"/>
    <row r="119" s="50" customFormat="1"/>
    <row r="120" s="50" customFormat="1"/>
    <row r="121" s="50" customFormat="1"/>
    <row r="122" s="50" customFormat="1"/>
    <row r="123" s="50" customFormat="1"/>
  </sheetData>
  <sheetProtection algorithmName="SHA-512" hashValue="jUoTvzT1k8eHqh2ttpY0WVvd9+uYNMgXTMJveAbUHnMmNB9bj6zKJs98PfKq8zw3CBaJbxndSBLUei/1hGY5NA==" saltValue="LH7jynFcFMOVzJljcd508Q==" spinCount="100000" sheet="1" objects="1" scenarios="1"/>
  <customSheetViews>
    <customSheetView guid="{52A26A5D-FD00-480B-943F-DB06B537D6D8}" scale="90" hiddenRows="1" topLeftCell="A7">
      <selection activeCell="C49" sqref="C49"/>
      <rowBreaks count="1" manualBreakCount="1">
        <brk id="32" max="16383" man="1"/>
      </rowBreaks>
      <pageMargins left="0.7" right="0.7" top="0.75" bottom="0.75" header="0.3" footer="0.3"/>
      <pageSetup scale="45" orientation="landscape" r:id="rId1"/>
    </customSheetView>
    <customSheetView guid="{EF22FA0B-F747-41C1-93DE-56651BBC6020}" scale="70" hiddenRows="1">
      <selection sqref="A1:F1"/>
      <rowBreaks count="1" manualBreakCount="1">
        <brk id="32" max="16383" man="1"/>
      </rowBreaks>
      <pageMargins left="0.7" right="0.7" top="0.75" bottom="0.75" header="0.3" footer="0.3"/>
      <pageSetup scale="45" orientation="landscape" r:id="rId2"/>
    </customSheetView>
  </customSheetViews>
  <mergeCells count="6">
    <mergeCell ref="A1:F1"/>
    <mergeCell ref="A35:A36"/>
    <mergeCell ref="B14:C14"/>
    <mergeCell ref="B13:D13"/>
    <mergeCell ref="B15:C15"/>
    <mergeCell ref="A23:A25"/>
  </mergeCells>
  <conditionalFormatting sqref="D35">
    <cfRule type="expression" dxfId="8" priority="1">
      <formula>"if($C$6=""Municipally Owned Utility"")"</formula>
    </cfRule>
  </conditionalFormatting>
  <dataValidations count="18">
    <dataValidation type="list" allowBlank="1" showInputMessage="1" showErrorMessage="1" sqref="D48">
      <formula1>$B$89:$E$89</formula1>
    </dataValidation>
    <dataValidation type="list" allowBlank="1" showInputMessage="1" showErrorMessage="1" sqref="D53">
      <formula1>$B$92:$E$92</formula1>
    </dataValidation>
    <dataValidation type="list" allowBlank="1" showInputMessage="1" showErrorMessage="1" sqref="D25">
      <formula1>$B$74:$D$74</formula1>
    </dataValidation>
    <dataValidation type="list" allowBlank="1" showInputMessage="1" showErrorMessage="1" sqref="D23">
      <formula1>$B$72:$E$72</formula1>
    </dataValidation>
    <dataValidation type="list" allowBlank="1" showInputMessage="1" showErrorMessage="1" sqref="D30">
      <formula1>$B$77:$E$77</formula1>
    </dataValidation>
    <dataValidation type="list" allowBlank="1" showInputMessage="1" showErrorMessage="1" sqref="D35">
      <formula1>$B$80:$E$80</formula1>
    </dataValidation>
    <dataValidation type="list" allowBlank="1" showInputMessage="1" showErrorMessage="1" sqref="D36">
      <formula1>$B$81:$E$81</formula1>
    </dataValidation>
    <dataValidation type="list" allowBlank="1" showInputMessage="1" showErrorMessage="1" sqref="D37">
      <formula1>$B$82:$E$82</formula1>
    </dataValidation>
    <dataValidation type="list" allowBlank="1" showInputMessage="1" showErrorMessage="1" sqref="D49">
      <formula1>$B$90:$D$90</formula1>
    </dataValidation>
    <dataValidation type="list" allowBlank="1" showInputMessage="1" showErrorMessage="1" sqref="D43">
      <formula1>$B$86:$G$86</formula1>
    </dataValidation>
    <dataValidation type="list" allowBlank="1" showInputMessage="1" showErrorMessage="1" sqref="D54">
      <formula1>$B$93:$D$93</formula1>
    </dataValidation>
    <dataValidation type="list" allowBlank="1" showInputMessage="1" showErrorMessage="1" sqref="D47">
      <formula1>$B$88:$D$88</formula1>
    </dataValidation>
    <dataValidation type="list" allowBlank="1" showInputMessage="1" showErrorMessage="1" sqref="D24">
      <formula1>$B$73:$D$73</formula1>
    </dataValidation>
    <dataValidation type="list" allowBlank="1" showInputMessage="1" showErrorMessage="1" sqref="D42">
      <formula1>$B$85:$I$85</formula1>
    </dataValidation>
    <dataValidation type="list" allowBlank="1" showInputMessage="1" showErrorMessage="1" sqref="D31">
      <formula1>$B$78:$G$78</formula1>
    </dataValidation>
    <dataValidation type="list" allowBlank="1" showInputMessage="1" showErrorMessage="1" sqref="D29">
      <formula1>$B$76:$F$76</formula1>
    </dataValidation>
    <dataValidation type="list" allowBlank="1" showInputMessage="1" showErrorMessage="1" sqref="D58">
      <formula1>$B$95:$I$95</formula1>
    </dataValidation>
    <dataValidation type="list" allowBlank="1" showInputMessage="1" showErrorMessage="1" sqref="D38">
      <formula1>$B$83:$H$83</formula1>
    </dataValidation>
  </dataValidations>
  <hyperlinks>
    <hyperlink ref="F38" r:id="rId3"/>
    <hyperlink ref="F43" r:id="rId4" display="H+T affordability index"/>
    <hyperlink ref="E14" r:id="rId5"/>
    <hyperlink ref="F30" r:id="rId6"/>
    <hyperlink ref="F36" r:id="rId7"/>
    <hyperlink ref="E15" r:id="rId8"/>
    <hyperlink ref="F48" r:id="rId9"/>
  </hyperlinks>
  <pageMargins left="0.7" right="0.7" top="0.75" bottom="0.75" header="0.3" footer="0.3"/>
  <pageSetup scale="45" orientation="landscape" r:id="rId10"/>
  <ignoredErrors>
    <ignoredError sqref="E48" formula="1"/>
  </ignoredErrors>
  <drawing r:id="rId11"/>
  <legacyDrawing r:id="rId12"/>
  <tableParts count="1">
    <tablePart r:id="rId1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1"/>
  <dimension ref="A1:AJ182"/>
  <sheetViews>
    <sheetView zoomScale="80" zoomScaleNormal="80" workbookViewId="0">
      <selection activeCell="B44" sqref="B44"/>
    </sheetView>
  </sheetViews>
  <sheetFormatPr defaultRowHeight="15" outlineLevelRow="1"/>
  <cols>
    <col min="1" max="1" width="5" style="80" customWidth="1"/>
    <col min="2" max="2" width="65.85546875" customWidth="1"/>
    <col min="3" max="3" width="11.5703125" customWidth="1"/>
    <col min="4" max="4" width="14.28515625" customWidth="1"/>
    <col min="5" max="5" width="12.85546875" customWidth="1"/>
    <col min="6" max="6" width="6.85546875" customWidth="1"/>
    <col min="7" max="7" width="23.28515625" customWidth="1"/>
    <col min="8" max="16" width="9.140625" style="80"/>
  </cols>
  <sheetData>
    <row r="1" spans="2:36" s="80" customFormat="1" ht="32.25" customHeight="1">
      <c r="B1" s="442" t="s">
        <v>76</v>
      </c>
      <c r="C1" s="442"/>
      <c r="D1" s="442"/>
      <c r="E1" s="442"/>
      <c r="F1" s="442"/>
    </row>
    <row r="2" spans="2:36" ht="14.25" customHeight="1">
      <c r="B2" s="80"/>
      <c r="C2" s="80"/>
      <c r="D2" s="80"/>
      <c r="E2" s="80"/>
      <c r="F2" s="80"/>
      <c r="G2" s="80"/>
      <c r="Q2" s="80"/>
      <c r="R2" s="80"/>
      <c r="S2" s="80"/>
      <c r="T2" s="80"/>
      <c r="U2" s="80"/>
      <c r="V2" s="80"/>
      <c r="W2" s="80"/>
      <c r="X2" s="80"/>
      <c r="Y2" s="80"/>
      <c r="Z2" s="80"/>
      <c r="AA2" s="80"/>
      <c r="AB2" s="80"/>
      <c r="AC2" s="80"/>
      <c r="AD2" s="80"/>
      <c r="AE2" s="80"/>
      <c r="AF2" s="80"/>
      <c r="AG2" s="80"/>
      <c r="AH2" s="80"/>
      <c r="AI2" s="80"/>
      <c r="AJ2" s="80"/>
    </row>
    <row r="3" spans="2:36" ht="14.25" customHeight="1">
      <c r="B3" s="80"/>
      <c r="C3" s="80"/>
      <c r="D3" s="80"/>
      <c r="E3" s="80"/>
      <c r="F3" s="80"/>
      <c r="G3" s="80"/>
      <c r="Q3" s="80"/>
      <c r="R3" s="80"/>
      <c r="S3" s="80"/>
      <c r="T3" s="80"/>
      <c r="U3" s="80"/>
      <c r="V3" s="80"/>
      <c r="W3" s="80"/>
      <c r="X3" s="80"/>
      <c r="Y3" s="80"/>
      <c r="Z3" s="80"/>
      <c r="AA3" s="80"/>
      <c r="AB3" s="80"/>
      <c r="AC3" s="80"/>
      <c r="AD3" s="80"/>
      <c r="AE3" s="80"/>
      <c r="AF3" s="80"/>
      <c r="AG3" s="80"/>
      <c r="AH3" s="80"/>
      <c r="AI3" s="80"/>
      <c r="AJ3" s="80"/>
    </row>
    <row r="4" spans="2:36" ht="14.25" customHeight="1">
      <c r="B4" s="80"/>
      <c r="C4" s="80"/>
      <c r="D4" s="80"/>
      <c r="E4" s="80"/>
      <c r="F4" s="80"/>
      <c r="G4" s="80"/>
      <c r="Q4" s="80"/>
      <c r="R4" s="80"/>
      <c r="S4" s="80"/>
      <c r="T4" s="80"/>
      <c r="U4" s="80"/>
      <c r="V4" s="80"/>
      <c r="W4" s="80"/>
      <c r="X4" s="80"/>
      <c r="Y4" s="80"/>
      <c r="Z4" s="80"/>
      <c r="AA4" s="80"/>
      <c r="AB4" s="80"/>
      <c r="AC4" s="80"/>
      <c r="AD4" s="80"/>
      <c r="AE4" s="80"/>
      <c r="AF4" s="80"/>
      <c r="AG4" s="80"/>
      <c r="AH4" s="80"/>
      <c r="AI4" s="80"/>
      <c r="AJ4" s="80"/>
    </row>
    <row r="5" spans="2:36" ht="14.25" customHeight="1">
      <c r="B5" s="80"/>
      <c r="C5" s="80"/>
      <c r="D5" s="80"/>
      <c r="E5" s="80"/>
      <c r="F5" s="80"/>
      <c r="G5" s="80"/>
      <c r="L5" s="119"/>
      <c r="Q5" s="80"/>
      <c r="R5" s="80"/>
      <c r="S5" s="80"/>
      <c r="T5" s="80"/>
      <c r="U5" s="80"/>
      <c r="V5" s="80"/>
      <c r="W5" s="80"/>
      <c r="X5" s="80"/>
      <c r="Y5" s="80"/>
      <c r="Z5" s="80"/>
      <c r="AA5" s="80"/>
      <c r="AB5" s="80"/>
      <c r="AC5" s="80"/>
      <c r="AD5" s="80"/>
      <c r="AE5" s="80"/>
      <c r="AF5" s="80"/>
      <c r="AG5" s="80"/>
      <c r="AH5" s="80"/>
      <c r="AI5" s="80"/>
      <c r="AJ5" s="80"/>
    </row>
    <row r="6" spans="2:36" ht="14.25" customHeight="1">
      <c r="B6" s="80"/>
      <c r="C6" s="80"/>
      <c r="D6" s="80"/>
      <c r="E6" s="80"/>
      <c r="F6" s="80"/>
      <c r="G6" s="80"/>
      <c r="Q6" s="80"/>
      <c r="R6" s="80"/>
      <c r="S6" s="80"/>
      <c r="T6" s="80"/>
      <c r="U6" s="80"/>
      <c r="V6" s="80"/>
      <c r="W6" s="80"/>
      <c r="X6" s="80"/>
      <c r="Y6" s="80"/>
      <c r="Z6" s="80"/>
      <c r="AA6" s="80"/>
      <c r="AB6" s="80"/>
      <c r="AC6" s="80"/>
      <c r="AD6" s="80"/>
      <c r="AE6" s="80"/>
      <c r="AF6" s="80"/>
      <c r="AG6" s="80"/>
      <c r="AH6" s="80"/>
      <c r="AI6" s="80"/>
      <c r="AJ6" s="80"/>
    </row>
    <row r="7" spans="2:36" ht="14.25" customHeight="1">
      <c r="B7" s="80"/>
      <c r="C7" s="80"/>
      <c r="D7" s="80"/>
      <c r="E7" s="80"/>
      <c r="F7" s="80"/>
      <c r="G7" s="80"/>
      <c r="Q7" s="80"/>
      <c r="R7" s="80"/>
      <c r="S7" s="80"/>
      <c r="T7" s="80"/>
      <c r="U7" s="80"/>
      <c r="V7" s="80"/>
      <c r="W7" s="80"/>
      <c r="X7" s="80"/>
      <c r="Y7" s="80"/>
      <c r="Z7" s="80"/>
      <c r="AA7" s="80"/>
      <c r="AB7" s="80"/>
      <c r="AC7" s="80"/>
      <c r="AD7" s="80"/>
      <c r="AE7" s="80"/>
      <c r="AF7" s="80"/>
      <c r="AG7" s="80"/>
      <c r="AH7" s="80"/>
      <c r="AI7" s="80"/>
      <c r="AJ7" s="80"/>
    </row>
    <row r="8" spans="2:36" ht="14.25" customHeight="1">
      <c r="B8" s="80"/>
      <c r="C8" s="80"/>
      <c r="D8" s="80"/>
      <c r="E8" s="80"/>
      <c r="F8" s="80"/>
      <c r="G8" s="80"/>
      <c r="Q8" s="80"/>
      <c r="R8" s="80"/>
      <c r="S8" s="80"/>
      <c r="T8" s="80"/>
      <c r="U8" s="80"/>
      <c r="V8" s="80"/>
      <c r="W8" s="80"/>
      <c r="X8" s="80"/>
      <c r="Y8" s="80"/>
      <c r="Z8" s="80"/>
      <c r="AA8" s="80"/>
      <c r="AB8" s="80"/>
      <c r="AC8" s="80"/>
      <c r="AD8" s="80"/>
      <c r="AE8" s="80"/>
      <c r="AF8" s="80"/>
      <c r="AG8" s="80"/>
      <c r="AH8" s="80"/>
      <c r="AI8" s="80"/>
      <c r="AJ8" s="80"/>
    </row>
    <row r="9" spans="2:36" ht="14.25" customHeight="1">
      <c r="B9" s="80"/>
      <c r="C9" s="80"/>
      <c r="D9" s="80"/>
      <c r="E9" s="80"/>
      <c r="F9" s="80"/>
      <c r="G9" s="80"/>
      <c r="Q9" s="80"/>
      <c r="R9" s="80"/>
      <c r="S9" s="80"/>
      <c r="T9" s="80"/>
      <c r="U9" s="80"/>
      <c r="V9" s="80"/>
      <c r="W9" s="80"/>
      <c r="X9" s="80"/>
      <c r="Y9" s="80"/>
      <c r="Z9" s="80"/>
      <c r="AA9" s="80"/>
      <c r="AB9" s="80"/>
      <c r="AC9" s="80"/>
      <c r="AD9" s="80"/>
      <c r="AE9" s="80"/>
      <c r="AF9" s="80"/>
      <c r="AG9" s="80"/>
      <c r="AH9" s="80"/>
      <c r="AI9" s="80"/>
      <c r="AJ9" s="80"/>
    </row>
    <row r="10" spans="2:36" ht="14.25" customHeight="1">
      <c r="B10" s="80"/>
      <c r="C10" s="80"/>
      <c r="D10" s="80"/>
      <c r="E10" s="80"/>
      <c r="F10" s="80"/>
      <c r="G10" s="80"/>
      <c r="Q10" s="80"/>
      <c r="R10" s="80"/>
      <c r="S10" s="80"/>
      <c r="T10" s="80"/>
      <c r="U10" s="80"/>
      <c r="V10" s="80"/>
      <c r="W10" s="80"/>
      <c r="X10" s="80"/>
      <c r="Y10" s="80"/>
      <c r="Z10" s="80"/>
      <c r="AA10" s="80"/>
      <c r="AB10" s="80"/>
      <c r="AC10" s="80"/>
      <c r="AD10" s="80"/>
      <c r="AE10" s="80"/>
      <c r="AF10" s="80"/>
      <c r="AG10" s="80"/>
      <c r="AH10" s="80"/>
      <c r="AI10" s="80"/>
      <c r="AJ10" s="80"/>
    </row>
    <row r="11" spans="2:36" ht="14.25" customHeight="1">
      <c r="B11" s="80"/>
      <c r="C11" s="80"/>
      <c r="D11" s="80"/>
      <c r="E11" s="80"/>
      <c r="F11" s="80"/>
      <c r="G11" s="80"/>
      <c r="Q11" s="80"/>
      <c r="R11" s="80"/>
      <c r="S11" s="80"/>
      <c r="T11" s="80"/>
      <c r="U11" s="80"/>
      <c r="V11" s="80"/>
      <c r="W11" s="80"/>
      <c r="X11" s="80"/>
      <c r="Y11" s="80"/>
      <c r="Z11" s="80"/>
      <c r="AA11" s="80"/>
      <c r="AB11" s="80"/>
      <c r="AC11" s="80"/>
      <c r="AD11" s="80"/>
      <c r="AE11" s="80"/>
      <c r="AF11" s="80"/>
      <c r="AG11" s="80"/>
      <c r="AH11" s="80"/>
      <c r="AI11" s="80"/>
      <c r="AJ11" s="80"/>
    </row>
    <row r="12" spans="2:36" ht="14.25" customHeight="1">
      <c r="B12" s="80"/>
      <c r="C12" s="80"/>
      <c r="D12" s="80"/>
      <c r="E12" s="80"/>
      <c r="F12" s="80"/>
      <c r="G12" s="80"/>
      <c r="Q12" s="80"/>
      <c r="R12" s="80"/>
      <c r="S12" s="80"/>
      <c r="T12" s="80"/>
      <c r="U12" s="80"/>
      <c r="V12" s="80"/>
      <c r="W12" s="80"/>
      <c r="X12" s="80"/>
      <c r="Y12" s="80"/>
      <c r="Z12" s="80"/>
      <c r="AA12" s="80"/>
      <c r="AB12" s="80"/>
      <c r="AC12" s="80"/>
      <c r="AD12" s="80"/>
      <c r="AE12" s="80"/>
      <c r="AF12" s="80"/>
      <c r="AG12" s="80"/>
      <c r="AH12" s="80"/>
      <c r="AI12" s="80"/>
      <c r="AJ12" s="80"/>
    </row>
    <row r="13" spans="2:36" ht="14.25" customHeight="1">
      <c r="B13" s="80"/>
      <c r="C13" s="80"/>
      <c r="D13" s="80"/>
      <c r="E13" s="80"/>
      <c r="F13" s="80"/>
      <c r="G13" s="80"/>
      <c r="Q13" s="80"/>
      <c r="R13" s="80"/>
      <c r="S13" s="80"/>
      <c r="T13" s="80"/>
      <c r="U13" s="80"/>
      <c r="V13" s="80"/>
      <c r="W13" s="80"/>
      <c r="X13" s="80"/>
      <c r="Y13" s="80"/>
      <c r="Z13" s="80"/>
      <c r="AA13" s="80"/>
      <c r="AB13" s="80"/>
      <c r="AC13" s="80"/>
      <c r="AD13" s="80"/>
      <c r="AE13" s="80"/>
      <c r="AF13" s="80"/>
      <c r="AG13" s="80"/>
      <c r="AH13" s="80"/>
      <c r="AI13" s="80"/>
      <c r="AJ13" s="80"/>
    </row>
    <row r="14" spans="2:36" ht="14.25" customHeight="1">
      <c r="B14" s="80"/>
      <c r="C14" s="80"/>
      <c r="D14" s="80"/>
      <c r="E14" s="80"/>
      <c r="F14" s="80"/>
      <c r="G14" s="80"/>
      <c r="Q14" s="80"/>
      <c r="R14" s="80"/>
      <c r="S14" s="80"/>
      <c r="T14" s="80"/>
      <c r="U14" s="80"/>
      <c r="V14" s="80"/>
      <c r="W14" s="80"/>
      <c r="X14" s="80"/>
      <c r="Y14" s="80"/>
      <c r="Z14" s="80"/>
      <c r="AA14" s="80"/>
      <c r="AB14" s="80"/>
      <c r="AC14" s="80"/>
      <c r="AD14" s="80"/>
      <c r="AE14" s="80"/>
      <c r="AF14" s="80"/>
      <c r="AG14" s="80"/>
      <c r="AH14" s="80"/>
      <c r="AI14" s="80"/>
      <c r="AJ14" s="80"/>
    </row>
    <row r="15" spans="2:36" ht="14.25" customHeight="1">
      <c r="B15" s="80"/>
      <c r="C15" s="80"/>
      <c r="D15" s="80"/>
      <c r="E15" s="80"/>
      <c r="F15" s="80"/>
      <c r="G15" s="80"/>
      <c r="Q15" s="80"/>
      <c r="R15" s="80"/>
      <c r="S15" s="80"/>
      <c r="T15" s="80"/>
      <c r="U15" s="80"/>
      <c r="V15" s="80"/>
      <c r="W15" s="80"/>
      <c r="X15" s="80"/>
      <c r="Y15" s="80"/>
      <c r="Z15" s="80"/>
      <c r="AA15" s="80"/>
      <c r="AB15" s="80"/>
      <c r="AC15" s="80"/>
      <c r="AD15" s="80"/>
      <c r="AE15" s="80"/>
      <c r="AF15" s="80"/>
      <c r="AG15" s="80"/>
      <c r="AH15" s="80"/>
      <c r="AI15" s="80"/>
      <c r="AJ15" s="80"/>
    </row>
    <row r="16" spans="2:36" ht="14.25" customHeight="1">
      <c r="B16" s="80"/>
      <c r="C16" s="80"/>
      <c r="D16" s="80"/>
      <c r="E16" s="80"/>
      <c r="F16" s="80"/>
      <c r="G16" s="80"/>
      <c r="Q16" s="80"/>
      <c r="R16" s="80"/>
      <c r="S16" s="80"/>
      <c r="T16" s="80"/>
      <c r="U16" s="80"/>
      <c r="V16" s="80"/>
      <c r="W16" s="80"/>
      <c r="X16" s="80"/>
      <c r="Y16" s="80"/>
      <c r="Z16" s="80"/>
      <c r="AA16" s="80"/>
      <c r="AB16" s="80"/>
      <c r="AC16" s="80"/>
      <c r="AD16" s="80"/>
      <c r="AE16" s="80"/>
      <c r="AF16" s="80"/>
      <c r="AG16" s="80"/>
      <c r="AH16" s="80"/>
      <c r="AI16" s="80"/>
      <c r="AJ16" s="80"/>
    </row>
    <row r="17" spans="2:36" ht="14.25" customHeight="1">
      <c r="B17" s="80"/>
      <c r="C17" s="80"/>
      <c r="D17" s="80"/>
      <c r="E17" s="80"/>
      <c r="F17" s="80"/>
      <c r="G17" s="80"/>
      <c r="Q17" s="80"/>
      <c r="R17" s="80"/>
      <c r="S17" s="80"/>
      <c r="T17" s="80"/>
      <c r="U17" s="80"/>
      <c r="V17" s="80"/>
      <c r="W17" s="80"/>
      <c r="X17" s="80"/>
      <c r="Y17" s="80"/>
      <c r="Z17" s="80"/>
      <c r="AA17" s="80"/>
      <c r="AB17" s="80"/>
      <c r="AC17" s="80"/>
      <c r="AD17" s="80"/>
      <c r="AE17" s="80"/>
      <c r="AF17" s="80"/>
      <c r="AG17" s="80"/>
      <c r="AH17" s="80"/>
      <c r="AI17" s="80"/>
      <c r="AJ17" s="80"/>
    </row>
    <row r="18" spans="2:36" ht="14.25" customHeight="1">
      <c r="B18" s="80"/>
      <c r="C18" s="80"/>
      <c r="D18" s="80"/>
      <c r="E18" s="80"/>
      <c r="F18" s="80"/>
      <c r="G18" s="80"/>
      <c r="Q18" s="80"/>
      <c r="R18" s="80"/>
      <c r="S18" s="80"/>
      <c r="T18" s="80"/>
      <c r="U18" s="80"/>
      <c r="V18" s="80"/>
      <c r="W18" s="80"/>
      <c r="X18" s="80"/>
      <c r="Y18" s="80"/>
      <c r="Z18" s="80"/>
      <c r="AA18" s="80"/>
      <c r="AB18" s="80"/>
      <c r="AC18" s="80"/>
      <c r="AD18" s="80"/>
      <c r="AE18" s="80"/>
      <c r="AF18" s="80"/>
      <c r="AG18" s="80"/>
      <c r="AH18" s="80"/>
      <c r="AI18" s="80"/>
      <c r="AJ18" s="80"/>
    </row>
    <row r="19" spans="2:36" ht="14.25" customHeight="1">
      <c r="B19" s="80"/>
      <c r="C19" s="80"/>
      <c r="D19" s="80"/>
      <c r="E19" s="80"/>
      <c r="F19" s="80"/>
      <c r="G19" s="80"/>
      <c r="Q19" s="80"/>
      <c r="R19" s="80"/>
      <c r="S19" s="80"/>
      <c r="T19" s="80"/>
      <c r="U19" s="80"/>
      <c r="V19" s="80"/>
      <c r="W19" s="80"/>
      <c r="X19" s="80"/>
      <c r="Y19" s="80"/>
      <c r="Z19" s="80"/>
      <c r="AA19" s="80"/>
      <c r="AB19" s="80"/>
      <c r="AC19" s="80"/>
      <c r="AD19" s="80"/>
      <c r="AE19" s="80"/>
      <c r="AF19" s="80"/>
      <c r="AG19" s="80"/>
      <c r="AH19" s="80"/>
      <c r="AI19" s="80"/>
      <c r="AJ19" s="80"/>
    </row>
    <row r="20" spans="2:36" ht="14.25" customHeight="1">
      <c r="B20" s="80"/>
      <c r="C20" s="80"/>
      <c r="D20" s="80"/>
      <c r="E20" s="80"/>
      <c r="F20" s="80"/>
      <c r="G20" s="80"/>
      <c r="Q20" s="80"/>
      <c r="R20" s="80"/>
      <c r="S20" s="80"/>
      <c r="T20" s="80"/>
      <c r="U20" s="80"/>
      <c r="V20" s="80"/>
      <c r="W20" s="80"/>
      <c r="X20" s="80"/>
      <c r="Y20" s="80"/>
      <c r="Z20" s="80"/>
      <c r="AA20" s="80"/>
      <c r="AB20" s="80"/>
      <c r="AC20" s="80"/>
      <c r="AD20" s="80"/>
      <c r="AE20" s="80"/>
      <c r="AF20" s="80"/>
      <c r="AG20" s="80"/>
      <c r="AH20" s="80"/>
      <c r="AI20" s="80"/>
      <c r="AJ20" s="80"/>
    </row>
    <row r="21" spans="2:36" ht="14.25" customHeight="1">
      <c r="B21" s="80"/>
      <c r="C21" s="80"/>
      <c r="D21" s="80"/>
      <c r="E21" s="80"/>
      <c r="F21" s="80"/>
      <c r="G21" s="80"/>
      <c r="Q21" s="80"/>
      <c r="R21" s="80"/>
      <c r="S21" s="80"/>
      <c r="T21" s="80"/>
      <c r="U21" s="80"/>
      <c r="V21" s="80"/>
      <c r="W21" s="80"/>
      <c r="X21" s="80"/>
      <c r="Y21" s="80"/>
      <c r="Z21" s="80"/>
      <c r="AA21" s="80"/>
      <c r="AB21" s="80"/>
      <c r="AC21" s="80"/>
      <c r="AD21" s="80"/>
      <c r="AE21" s="80"/>
      <c r="AF21" s="80"/>
      <c r="AG21" s="80"/>
      <c r="AH21" s="80"/>
      <c r="AI21" s="80"/>
      <c r="AJ21" s="80"/>
    </row>
    <row r="22" spans="2:36" ht="14.25" customHeight="1">
      <c r="B22" s="80"/>
      <c r="C22" s="80"/>
      <c r="D22" s="80"/>
      <c r="E22" s="80"/>
      <c r="F22" s="80"/>
      <c r="G22" s="80"/>
      <c r="Q22" s="80"/>
      <c r="R22" s="80"/>
      <c r="S22" s="80"/>
      <c r="T22" s="80"/>
      <c r="U22" s="80"/>
      <c r="V22" s="80"/>
      <c r="W22" s="80"/>
      <c r="X22" s="80"/>
      <c r="Y22" s="80"/>
      <c r="Z22" s="80"/>
      <c r="AA22" s="80"/>
      <c r="AB22" s="80"/>
      <c r="AC22" s="80"/>
      <c r="AD22" s="80"/>
      <c r="AE22" s="80"/>
      <c r="AF22" s="80"/>
      <c r="AG22" s="80"/>
      <c r="AH22" s="80"/>
      <c r="AI22" s="80"/>
      <c r="AJ22" s="80"/>
    </row>
    <row r="23" spans="2:36" ht="14.25" customHeight="1">
      <c r="B23" s="80"/>
      <c r="C23" s="80"/>
      <c r="D23" s="80"/>
      <c r="E23" s="80"/>
      <c r="F23" s="80"/>
      <c r="G23" s="80"/>
      <c r="Q23" s="80"/>
      <c r="R23" s="80"/>
      <c r="S23" s="80"/>
      <c r="T23" s="80"/>
      <c r="U23" s="80"/>
      <c r="V23" s="80"/>
      <c r="W23" s="80"/>
      <c r="X23" s="80"/>
      <c r="Y23" s="80"/>
      <c r="Z23" s="80"/>
      <c r="AA23" s="80"/>
      <c r="AB23" s="80"/>
      <c r="AC23" s="80"/>
      <c r="AD23" s="80"/>
      <c r="AE23" s="80"/>
      <c r="AF23" s="80"/>
      <c r="AG23" s="80"/>
      <c r="AH23" s="80"/>
      <c r="AI23" s="80"/>
      <c r="AJ23" s="80"/>
    </row>
    <row r="24" spans="2:36" ht="14.25" customHeight="1">
      <c r="B24" s="80"/>
      <c r="C24" s="80"/>
      <c r="D24" s="80"/>
      <c r="E24" s="80"/>
      <c r="F24" s="80"/>
      <c r="G24" s="80"/>
      <c r="Q24" s="80"/>
      <c r="R24" s="80"/>
      <c r="S24" s="80"/>
      <c r="T24" s="80"/>
      <c r="U24" s="80"/>
      <c r="V24" s="80"/>
      <c r="W24" s="80"/>
      <c r="X24" s="80"/>
      <c r="Y24" s="80"/>
      <c r="Z24" s="80"/>
      <c r="AA24" s="80"/>
      <c r="AB24" s="80"/>
      <c r="AC24" s="80"/>
      <c r="AD24" s="80"/>
      <c r="AE24" s="80"/>
      <c r="AF24" s="80"/>
      <c r="AG24" s="80"/>
      <c r="AH24" s="80"/>
      <c r="AI24" s="80"/>
      <c r="AJ24" s="80"/>
    </row>
    <row r="25" spans="2:36" s="80" customFormat="1"/>
    <row r="26" spans="2:36" s="80" customFormat="1" ht="14.25" customHeight="1"/>
    <row r="27" spans="2:36" s="80" customFormat="1" ht="14.25" customHeight="1"/>
    <row r="28" spans="2:36" s="80" customFormat="1" ht="14.25" customHeight="1"/>
    <row r="29" spans="2:36" s="80" customFormat="1" ht="14.25" customHeight="1"/>
    <row r="30" spans="2:36" s="80" customFormat="1" ht="14.25" customHeight="1"/>
    <row r="31" spans="2:36" s="80" customFormat="1" ht="14.25" customHeight="1"/>
    <row r="32" spans="2:36" s="80" customFormat="1" ht="14.25" customHeight="1" thickBot="1"/>
    <row r="33" spans="1:35" ht="15.2" customHeight="1">
      <c r="B33" s="443" t="s">
        <v>515</v>
      </c>
      <c r="C33" s="444"/>
      <c r="D33" s="444"/>
      <c r="E33" s="445"/>
      <c r="F33" s="80"/>
      <c r="G33" s="80"/>
      <c r="Q33" s="80"/>
      <c r="R33" s="80"/>
      <c r="S33" s="80"/>
      <c r="T33" s="80"/>
      <c r="U33" s="80"/>
      <c r="V33" s="80"/>
      <c r="W33" s="80"/>
      <c r="X33" s="80"/>
      <c r="Y33" s="80"/>
      <c r="Z33" s="80"/>
      <c r="AA33" s="80"/>
      <c r="AB33" s="80"/>
      <c r="AC33" s="80"/>
      <c r="AD33" s="80"/>
      <c r="AE33" s="80"/>
      <c r="AF33" s="80"/>
      <c r="AG33" s="80"/>
      <c r="AH33" s="80"/>
      <c r="AI33" s="80"/>
    </row>
    <row r="34" spans="1:35" s="6" customFormat="1" ht="45">
      <c r="A34" s="119"/>
      <c r="B34" s="371"/>
      <c r="C34" s="372" t="s">
        <v>516</v>
      </c>
      <c r="D34" s="373" t="s">
        <v>830</v>
      </c>
      <c r="E34" s="374" t="str">
        <f>IF(Introduction!D25="","",Introduction!D25)</f>
        <v/>
      </c>
      <c r="F34" s="80"/>
      <c r="G34" s="119"/>
      <c r="H34" s="119"/>
      <c r="I34" s="119"/>
      <c r="J34" s="119"/>
      <c r="K34" s="119"/>
      <c r="L34" s="119"/>
      <c r="M34" s="119"/>
      <c r="N34" s="119"/>
      <c r="O34" s="119"/>
      <c r="P34" s="119"/>
      <c r="Q34" s="80"/>
      <c r="R34" s="80"/>
      <c r="S34" s="80"/>
      <c r="T34" s="80"/>
      <c r="U34" s="80"/>
      <c r="V34" s="80"/>
      <c r="W34" s="80"/>
      <c r="X34" s="80"/>
      <c r="Y34" s="80"/>
      <c r="Z34" s="80"/>
      <c r="AA34" s="80"/>
      <c r="AB34" s="80"/>
      <c r="AC34" s="80"/>
      <c r="AD34" s="80"/>
      <c r="AE34" s="80"/>
      <c r="AF34" s="80"/>
      <c r="AG34" s="80"/>
      <c r="AH34" s="80"/>
      <c r="AI34" s="80"/>
    </row>
    <row r="35" spans="1:35">
      <c r="B35" s="375" t="s">
        <v>513</v>
      </c>
      <c r="C35" s="176">
        <f>C95+C79+C62+C50+C36</f>
        <v>100</v>
      </c>
      <c r="D35" s="176" t="str">
        <f>IF(AND(D36="",D50="",D62="",D79="",D95=""),"",38.5)</f>
        <v/>
      </c>
      <c r="E35" s="319">
        <f>E95+E79+E62+E50+E36</f>
        <v>0</v>
      </c>
      <c r="F35" s="80"/>
      <c r="G35" s="80"/>
      <c r="Q35" s="80"/>
      <c r="R35" s="80"/>
      <c r="S35" s="80"/>
      <c r="T35" s="80"/>
      <c r="U35" s="80"/>
      <c r="V35" s="80"/>
      <c r="W35" s="80"/>
      <c r="X35" s="80"/>
      <c r="Y35" s="80"/>
      <c r="Z35" s="80"/>
      <c r="AA35" s="80"/>
      <c r="AB35" s="80"/>
      <c r="AC35" s="80"/>
      <c r="AD35" s="80"/>
      <c r="AE35" s="80"/>
      <c r="AF35" s="80"/>
      <c r="AG35" s="80"/>
      <c r="AH35" s="80"/>
      <c r="AI35" s="80"/>
    </row>
    <row r="36" spans="1:35" s="6" customFormat="1">
      <c r="A36" s="119"/>
      <c r="B36" s="375" t="s">
        <v>481</v>
      </c>
      <c r="C36" s="176">
        <f>C37+C46+C42</f>
        <v>10</v>
      </c>
      <c r="D36" s="176" t="str">
        <f>IF(AND(D37="",D42="",D46=""),"",6)</f>
        <v/>
      </c>
      <c r="E36" s="319">
        <f>E37+E42+E46</f>
        <v>0</v>
      </c>
      <c r="F36" s="80"/>
      <c r="G36" s="119"/>
      <c r="H36" s="119"/>
      <c r="I36" s="119"/>
      <c r="J36" s="119"/>
      <c r="K36" s="119"/>
      <c r="L36" s="119"/>
      <c r="M36" s="119"/>
      <c r="N36" s="119"/>
      <c r="O36" s="119"/>
      <c r="P36" s="119"/>
      <c r="Q36" s="80"/>
      <c r="R36" s="80"/>
      <c r="S36" s="80"/>
      <c r="T36" s="80"/>
      <c r="U36" s="80"/>
      <c r="V36" s="80"/>
      <c r="W36" s="80"/>
      <c r="X36" s="80"/>
      <c r="Y36" s="80"/>
      <c r="Z36" s="80"/>
      <c r="AA36" s="80"/>
      <c r="AB36" s="80"/>
      <c r="AC36" s="80"/>
      <c r="AD36" s="80"/>
      <c r="AE36" s="80"/>
      <c r="AF36" s="80"/>
      <c r="AG36" s="80"/>
      <c r="AH36" s="80"/>
      <c r="AI36" s="80"/>
    </row>
    <row r="37" spans="1:35" s="6" customFormat="1">
      <c r="A37" s="119"/>
      <c r="B37" s="376" t="s">
        <v>680</v>
      </c>
      <c r="C37" s="179">
        <v>4.5</v>
      </c>
      <c r="D37" s="179" t="str">
        <f>IF(AND(D38="",D39="",D40="",D41=""),"",3)</f>
        <v/>
      </c>
      <c r="E37" s="320">
        <f>SUM(E38:E41)</f>
        <v>0</v>
      </c>
      <c r="F37" s="80"/>
      <c r="G37" s="119"/>
      <c r="H37" s="119"/>
      <c r="I37" s="119"/>
      <c r="J37" s="119"/>
      <c r="K37" s="119"/>
      <c r="L37" s="119"/>
      <c r="M37" s="119"/>
      <c r="N37" s="119"/>
      <c r="O37" s="119"/>
      <c r="P37" s="119"/>
      <c r="Q37" s="80"/>
      <c r="R37" s="80"/>
      <c r="S37" s="80"/>
      <c r="T37" s="80"/>
      <c r="U37" s="80"/>
      <c r="V37" s="80"/>
      <c r="W37" s="80"/>
      <c r="X37" s="80"/>
      <c r="Y37" s="80"/>
      <c r="Z37" s="80"/>
      <c r="AA37" s="80"/>
      <c r="AB37" s="80"/>
      <c r="AC37" s="80"/>
      <c r="AD37" s="80"/>
      <c r="AE37" s="80"/>
      <c r="AF37" s="80"/>
      <c r="AG37" s="80"/>
      <c r="AH37" s="80"/>
      <c r="AI37" s="80"/>
    </row>
    <row r="38" spans="1:35" s="6" customFormat="1" outlineLevel="1">
      <c r="A38" s="119"/>
      <c r="B38" s="377" t="str">
        <f>'Local government operations'!A21</f>
        <v>Existence of goal</v>
      </c>
      <c r="C38" s="378">
        <v>2</v>
      </c>
      <c r="D38" s="378" t="str">
        <f>IF(E38="","",1.5)</f>
        <v/>
      </c>
      <c r="E38" s="321" t="str">
        <f>IF('Local government operations'!$K$21&gt;'Local government operations'!$K$22,'Local government operations'!E21,'Local government operations'!E28)</f>
        <v/>
      </c>
      <c r="F38" s="80"/>
      <c r="G38" s="119"/>
      <c r="H38" s="119"/>
      <c r="I38" s="119"/>
      <c r="J38" s="119"/>
      <c r="K38" s="119"/>
      <c r="L38" s="119"/>
      <c r="M38" s="119"/>
      <c r="N38" s="119"/>
      <c r="O38" s="119"/>
      <c r="P38" s="119"/>
      <c r="Q38" s="80"/>
      <c r="R38" s="80"/>
      <c r="S38" s="80"/>
      <c r="T38" s="80"/>
      <c r="U38" s="80"/>
      <c r="V38" s="80"/>
      <c r="W38" s="80"/>
      <c r="X38" s="80"/>
      <c r="Y38" s="80"/>
      <c r="Z38" s="80"/>
      <c r="AA38" s="80"/>
      <c r="AB38" s="80"/>
      <c r="AC38" s="80"/>
      <c r="AD38" s="80"/>
      <c r="AE38" s="80"/>
      <c r="AF38" s="80"/>
      <c r="AG38" s="80"/>
      <c r="AH38" s="80"/>
      <c r="AI38" s="80"/>
    </row>
    <row r="39" spans="1:35" s="6" customFormat="1" outlineLevel="1">
      <c r="A39" s="119"/>
      <c r="B39" s="377" t="s">
        <v>597</v>
      </c>
      <c r="C39" s="378">
        <v>1</v>
      </c>
      <c r="D39" s="378" t="str">
        <f>IF(E39="","",0.5)</f>
        <v/>
      </c>
      <c r="E39" s="321" t="str">
        <f>IF(SUM('Local government operations'!E22:E23)&gt;SUM('Local government operations'!E29:E30),'Local government operations'!E22,'Local government operations'!E29)</f>
        <v/>
      </c>
      <c r="F39" s="80"/>
      <c r="G39" s="119"/>
      <c r="H39" s="119"/>
      <c r="I39" s="119"/>
      <c r="J39" s="119"/>
      <c r="K39" s="119"/>
      <c r="L39" s="119"/>
      <c r="M39" s="119"/>
      <c r="N39" s="119"/>
      <c r="O39" s="119"/>
      <c r="P39" s="119"/>
      <c r="Q39" s="80"/>
      <c r="R39" s="80"/>
      <c r="S39" s="80"/>
      <c r="T39" s="80"/>
      <c r="U39" s="80"/>
      <c r="V39" s="80"/>
      <c r="W39" s="80"/>
      <c r="X39" s="80"/>
      <c r="Y39" s="80"/>
      <c r="Z39" s="80"/>
      <c r="AA39" s="80"/>
      <c r="AB39" s="80"/>
      <c r="AC39" s="80"/>
      <c r="AD39" s="80"/>
      <c r="AE39" s="80"/>
      <c r="AF39" s="80"/>
      <c r="AG39" s="80"/>
      <c r="AH39" s="80"/>
      <c r="AI39" s="80"/>
    </row>
    <row r="40" spans="1:35" s="6" customFormat="1" outlineLevel="1">
      <c r="A40" s="119"/>
      <c r="B40" s="377" t="str">
        <f>'Local government operations'!A24</f>
        <v>Annual public reporting</v>
      </c>
      <c r="C40" s="378">
        <v>0.5</v>
      </c>
      <c r="D40" s="378" t="str">
        <f>IF(E40="","",0.5)</f>
        <v/>
      </c>
      <c r="E40" s="321" t="str">
        <f>'Local government operations'!L24</f>
        <v/>
      </c>
      <c r="F40" s="80"/>
      <c r="G40" s="119"/>
      <c r="H40" s="119"/>
      <c r="I40" s="119"/>
      <c r="J40" s="119"/>
      <c r="K40" s="119"/>
      <c r="L40" s="119"/>
      <c r="M40" s="119"/>
      <c r="N40" s="119"/>
      <c r="O40" s="119"/>
      <c r="P40" s="119"/>
      <c r="Q40" s="80"/>
      <c r="R40" s="80"/>
      <c r="S40" s="80"/>
      <c r="T40" s="80"/>
      <c r="U40" s="80"/>
      <c r="V40" s="80"/>
      <c r="W40" s="80"/>
      <c r="X40" s="80"/>
      <c r="Y40" s="80"/>
      <c r="Z40" s="80"/>
      <c r="AA40" s="80"/>
      <c r="AB40" s="80"/>
      <c r="AC40" s="80"/>
      <c r="AD40" s="80"/>
      <c r="AE40" s="80"/>
      <c r="AF40" s="80"/>
      <c r="AG40" s="80"/>
      <c r="AH40" s="80"/>
      <c r="AI40" s="80"/>
    </row>
    <row r="41" spans="1:35" s="6" customFormat="1">
      <c r="A41" s="119"/>
      <c r="B41" s="377" t="str">
        <f>'Local government operations'!A23</f>
        <v>Progress toward goal</v>
      </c>
      <c r="C41" s="378">
        <v>1</v>
      </c>
      <c r="D41" s="378" t="str">
        <f>IF(E41="","",0)</f>
        <v/>
      </c>
      <c r="E41" s="321" t="str">
        <f>IF('Local government operations'!K21&gt;'Local government operations'!K22,'Local government operations'!E23,'Local government operations'!E30)</f>
        <v/>
      </c>
      <c r="F41" s="80"/>
      <c r="G41" s="119"/>
      <c r="H41" s="119"/>
      <c r="I41" s="119"/>
      <c r="J41" s="119"/>
      <c r="K41" s="119"/>
      <c r="L41" s="119"/>
      <c r="M41" s="119"/>
      <c r="N41" s="119"/>
      <c r="O41" s="119"/>
      <c r="P41" s="119"/>
      <c r="Q41" s="80"/>
      <c r="R41" s="80"/>
      <c r="S41" s="80"/>
      <c r="T41" s="80"/>
      <c r="U41" s="80"/>
      <c r="V41" s="80"/>
      <c r="W41" s="80"/>
      <c r="X41" s="80"/>
      <c r="Y41" s="80"/>
      <c r="Z41" s="80"/>
      <c r="AA41" s="80"/>
      <c r="AB41" s="80"/>
      <c r="AC41" s="80"/>
      <c r="AD41" s="80"/>
      <c r="AE41" s="80"/>
      <c r="AF41" s="80"/>
      <c r="AG41" s="80"/>
      <c r="AH41" s="80"/>
      <c r="AI41" s="80"/>
    </row>
    <row r="42" spans="1:35" s="6" customFormat="1">
      <c r="A42" s="119"/>
      <c r="B42" s="376" t="s">
        <v>495</v>
      </c>
      <c r="C42" s="179">
        <v>3</v>
      </c>
      <c r="D42" s="179" t="str">
        <f>IF(AND(D43="",D44="",D45=""),"",1.5)</f>
        <v/>
      </c>
      <c r="E42" s="320">
        <f>SUM(E43:E45)</f>
        <v>0</v>
      </c>
      <c r="F42" s="80"/>
      <c r="G42" s="119"/>
      <c r="H42" s="119"/>
      <c r="I42" s="119"/>
      <c r="J42" s="119"/>
      <c r="K42" s="119"/>
      <c r="L42" s="119"/>
      <c r="M42" s="119"/>
      <c r="N42" s="119"/>
      <c r="O42" s="119"/>
      <c r="P42" s="119"/>
      <c r="Q42" s="80"/>
      <c r="R42" s="80"/>
      <c r="S42" s="80"/>
      <c r="T42" s="80"/>
      <c r="U42" s="80"/>
      <c r="V42" s="80"/>
      <c r="W42" s="80"/>
      <c r="X42" s="80"/>
      <c r="Y42" s="80"/>
      <c r="Z42" s="80"/>
      <c r="AA42" s="80"/>
      <c r="AB42" s="80"/>
      <c r="AC42" s="80"/>
      <c r="AD42" s="80"/>
      <c r="AE42" s="80"/>
      <c r="AF42" s="80"/>
      <c r="AG42" s="80"/>
      <c r="AH42" s="80"/>
      <c r="AI42" s="80"/>
    </row>
    <row r="43" spans="1:35" s="6" customFormat="1" outlineLevel="1">
      <c r="A43" s="119"/>
      <c r="B43" s="377" t="str">
        <f>'Local government operations'!A35</f>
        <v>Public lighting</v>
      </c>
      <c r="C43" s="378">
        <v>1</v>
      </c>
      <c r="D43" s="378" t="str">
        <f>IF(E43="","",0.5)</f>
        <v/>
      </c>
      <c r="E43" s="321" t="str">
        <f>IF('Local government operations'!I35="","",'Local government operations'!I35)</f>
        <v/>
      </c>
      <c r="F43" s="80"/>
      <c r="G43" s="119"/>
      <c r="H43" s="119"/>
      <c r="I43" s="119"/>
      <c r="J43" s="119"/>
      <c r="K43" s="119"/>
      <c r="L43" s="119"/>
      <c r="M43" s="119"/>
      <c r="N43" s="119"/>
      <c r="O43" s="119"/>
      <c r="P43" s="119"/>
      <c r="Q43" s="80"/>
      <c r="R43" s="80"/>
      <c r="S43" s="80"/>
      <c r="T43" s="80"/>
      <c r="U43" s="80"/>
      <c r="V43" s="80"/>
      <c r="W43" s="80"/>
      <c r="X43" s="80"/>
      <c r="Y43" s="80"/>
      <c r="Z43" s="80"/>
      <c r="AA43" s="80"/>
      <c r="AB43" s="80"/>
      <c r="AC43" s="80"/>
      <c r="AD43" s="80"/>
      <c r="AE43" s="80"/>
      <c r="AF43" s="80"/>
      <c r="AG43" s="80"/>
      <c r="AH43" s="80"/>
      <c r="AI43" s="80"/>
    </row>
    <row r="44" spans="1:35" s="6" customFormat="1" outlineLevel="1">
      <c r="A44" s="119"/>
      <c r="B44" s="377" t="str">
        <f>'Local government operations'!A37</f>
        <v>New buildings and equipment</v>
      </c>
      <c r="C44" s="378">
        <v>1</v>
      </c>
      <c r="D44" s="378" t="str">
        <f>IF(E44="","",0.5)</f>
        <v/>
      </c>
      <c r="E44" s="321" t="str">
        <f>IF(AND('Local government operations'!E37="", 'Local government operations'!E38=""),"",SUM('Local government operations'!E37:E38))</f>
        <v/>
      </c>
      <c r="F44" s="80"/>
      <c r="G44" s="119"/>
      <c r="H44" s="119"/>
      <c r="I44" s="119"/>
      <c r="J44" s="119"/>
      <c r="K44" s="119"/>
      <c r="L44" s="119"/>
      <c r="M44" s="119"/>
      <c r="N44" s="119"/>
      <c r="O44" s="119"/>
      <c r="P44" s="119"/>
      <c r="Q44" s="80"/>
      <c r="R44" s="80"/>
      <c r="S44" s="80"/>
      <c r="T44" s="80"/>
      <c r="U44" s="80"/>
      <c r="V44" s="80"/>
      <c r="W44" s="80"/>
      <c r="X44" s="80"/>
      <c r="Y44" s="80"/>
      <c r="Z44" s="80"/>
      <c r="AA44" s="80"/>
      <c r="AB44" s="80"/>
      <c r="AC44" s="80"/>
      <c r="AD44" s="80"/>
      <c r="AE44" s="80"/>
      <c r="AF44" s="80"/>
      <c r="AG44" s="80"/>
      <c r="AH44" s="80"/>
      <c r="AI44" s="80"/>
    </row>
    <row r="45" spans="1:35" s="6" customFormat="1" outlineLevel="1">
      <c r="A45" s="119"/>
      <c r="B45" s="377" t="s">
        <v>476</v>
      </c>
      <c r="C45" s="378">
        <v>1</v>
      </c>
      <c r="D45" s="378" t="str">
        <f>IF(E45="","",0.5)</f>
        <v/>
      </c>
      <c r="E45" s="321" t="str">
        <f>IF(AND('Local government operations'!E39="", 'Local government operations'!E40=""),"",SUM('Local government operations'!E39:E40))</f>
        <v/>
      </c>
      <c r="F45" s="80"/>
      <c r="G45" s="119"/>
      <c r="H45" s="119"/>
      <c r="I45" s="119"/>
      <c r="J45" s="119"/>
      <c r="K45" s="119"/>
      <c r="L45" s="119"/>
      <c r="M45" s="119"/>
      <c r="N45" s="119"/>
      <c r="O45" s="119"/>
      <c r="P45" s="119"/>
      <c r="Q45" s="80"/>
      <c r="R45" s="80"/>
      <c r="S45" s="80"/>
      <c r="T45" s="80"/>
      <c r="U45" s="80"/>
      <c r="V45" s="80"/>
      <c r="W45" s="80"/>
      <c r="X45" s="80"/>
      <c r="Y45" s="80"/>
      <c r="Z45" s="80"/>
      <c r="AA45" s="80"/>
      <c r="AB45" s="80"/>
      <c r="AC45" s="80"/>
      <c r="AD45" s="80"/>
      <c r="AE45" s="80"/>
      <c r="AF45" s="80"/>
      <c r="AG45" s="80"/>
      <c r="AH45" s="80"/>
      <c r="AI45" s="80"/>
    </row>
    <row r="46" spans="1:35" s="6" customFormat="1" outlineLevel="1">
      <c r="A46" s="119"/>
      <c r="B46" s="376" t="s">
        <v>473</v>
      </c>
      <c r="C46" s="179">
        <v>2.5</v>
      </c>
      <c r="D46" s="179" t="str">
        <f>IF(AND(D47="",D48="",D49=""),"",1.5)</f>
        <v/>
      </c>
      <c r="E46" s="320">
        <f>SUM(E47:E49)</f>
        <v>0</v>
      </c>
      <c r="F46" s="80"/>
      <c r="G46" s="119"/>
      <c r="H46" s="119"/>
      <c r="I46" s="119"/>
      <c r="J46" s="119"/>
      <c r="K46" s="119"/>
      <c r="L46" s="119"/>
      <c r="M46" s="119"/>
      <c r="N46" s="119"/>
      <c r="O46" s="119"/>
      <c r="P46" s="119"/>
      <c r="Q46" s="80"/>
      <c r="R46" s="80"/>
      <c r="S46" s="80"/>
      <c r="T46" s="80"/>
      <c r="U46" s="80"/>
      <c r="V46" s="80"/>
      <c r="W46" s="80"/>
      <c r="X46" s="80"/>
      <c r="Y46" s="80"/>
      <c r="Z46" s="80"/>
      <c r="AA46" s="80"/>
      <c r="AB46" s="80"/>
      <c r="AC46" s="80"/>
      <c r="AD46" s="80"/>
      <c r="AE46" s="80"/>
      <c r="AF46" s="80"/>
      <c r="AG46" s="80"/>
      <c r="AH46" s="80"/>
      <c r="AI46" s="80"/>
    </row>
    <row r="47" spans="1:35" s="6" customFormat="1" outlineLevel="1">
      <c r="A47" s="119"/>
      <c r="B47" s="377" t="s">
        <v>477</v>
      </c>
      <c r="C47" s="378">
        <v>0.5</v>
      </c>
      <c r="D47" s="378" t="str">
        <f>IF(E47="","",0.5)</f>
        <v/>
      </c>
      <c r="E47" s="321" t="str">
        <f>IF('Local government operations'!E44="","",SUM('Local government operations'!E44:E44))</f>
        <v/>
      </c>
      <c r="F47" s="80"/>
      <c r="G47" s="119"/>
      <c r="H47" s="119"/>
      <c r="I47" s="119"/>
      <c r="J47" s="119"/>
      <c r="K47" s="119"/>
      <c r="L47" s="119"/>
      <c r="M47" s="119"/>
      <c r="N47" s="119"/>
      <c r="O47" s="119"/>
      <c r="P47" s="119"/>
      <c r="Q47" s="80"/>
      <c r="R47" s="80"/>
      <c r="S47" s="80"/>
      <c r="T47" s="80"/>
      <c r="U47" s="80"/>
      <c r="V47" s="80"/>
      <c r="W47" s="80"/>
      <c r="X47" s="80"/>
      <c r="Y47" s="80"/>
      <c r="Z47" s="80"/>
      <c r="AA47" s="80"/>
      <c r="AB47" s="80"/>
      <c r="AC47" s="80"/>
      <c r="AD47" s="80"/>
      <c r="AE47" s="80"/>
      <c r="AF47" s="80"/>
      <c r="AG47" s="80"/>
      <c r="AH47" s="80"/>
      <c r="AI47" s="80"/>
    </row>
    <row r="48" spans="1:35" s="6" customFormat="1" outlineLevel="1">
      <c r="A48" s="119"/>
      <c r="B48" s="377" t="str">
        <f>'Local government operations'!A45</f>
        <v>Building benchmarking</v>
      </c>
      <c r="C48" s="378">
        <v>1</v>
      </c>
      <c r="D48" s="378" t="str">
        <f>IF(E48="","",1)</f>
        <v/>
      </c>
      <c r="E48" s="321" t="str">
        <f>IF('Local government operations'!E45="","",'Local government operations'!E45)</f>
        <v/>
      </c>
      <c r="F48" s="80"/>
      <c r="G48" s="119"/>
      <c r="H48" s="119"/>
      <c r="I48" s="119"/>
      <c r="J48" s="119"/>
      <c r="K48" s="119"/>
      <c r="L48" s="119"/>
      <c r="M48" s="119"/>
      <c r="N48" s="119"/>
      <c r="O48" s="119"/>
      <c r="P48" s="119"/>
      <c r="Q48" s="80"/>
      <c r="R48" s="80"/>
      <c r="S48" s="80"/>
      <c r="T48" s="80"/>
      <c r="U48" s="80"/>
      <c r="V48" s="80"/>
      <c r="W48" s="80"/>
      <c r="X48" s="80"/>
      <c r="Y48" s="80"/>
      <c r="Z48" s="80"/>
      <c r="AA48" s="80"/>
      <c r="AB48" s="80"/>
      <c r="AC48" s="80"/>
      <c r="AD48" s="80"/>
      <c r="AE48" s="80"/>
      <c r="AF48" s="80"/>
      <c r="AG48" s="80"/>
      <c r="AH48" s="80"/>
      <c r="AI48" s="80"/>
    </row>
    <row r="49" spans="1:35" s="6" customFormat="1" outlineLevel="1">
      <c r="A49" s="119"/>
      <c r="B49" s="377" t="str">
        <f>'Local government operations'!A46</f>
        <v>Comprehensive retrofit strategy</v>
      </c>
      <c r="C49" s="378">
        <v>1</v>
      </c>
      <c r="D49" s="378" t="str">
        <f>IF(E49="","",0.5)</f>
        <v/>
      </c>
      <c r="E49" s="321" t="str">
        <f>IF('Local government operations'!E46="","",'Local government operations'!E46)</f>
        <v/>
      </c>
      <c r="F49" s="80"/>
      <c r="G49" s="119"/>
      <c r="H49" s="119"/>
      <c r="I49" s="119"/>
      <c r="J49" s="119"/>
      <c r="K49" s="119"/>
      <c r="L49" s="119"/>
      <c r="M49" s="119"/>
      <c r="N49" s="119"/>
      <c r="O49" s="119"/>
      <c r="P49" s="119"/>
      <c r="Q49" s="80"/>
      <c r="R49" s="80"/>
      <c r="S49" s="80"/>
      <c r="T49" s="80"/>
      <c r="U49" s="80"/>
      <c r="V49" s="80"/>
      <c r="W49" s="80"/>
      <c r="X49" s="80"/>
      <c r="Y49" s="80"/>
      <c r="Z49" s="80"/>
      <c r="AA49" s="80"/>
      <c r="AB49" s="80"/>
      <c r="AC49" s="80"/>
      <c r="AD49" s="80"/>
      <c r="AE49" s="80"/>
      <c r="AF49" s="80"/>
      <c r="AG49" s="80"/>
      <c r="AH49" s="80"/>
      <c r="AI49" s="80"/>
    </row>
    <row r="50" spans="1:35" s="6" customFormat="1">
      <c r="A50" s="119"/>
      <c r="B50" s="379" t="s">
        <v>482</v>
      </c>
      <c r="C50" s="380">
        <f>C51+C57+C59</f>
        <v>12</v>
      </c>
      <c r="D50" s="380" t="str">
        <f>IF(AND(D51="",D57="",D59=""),"",6.5)</f>
        <v/>
      </c>
      <c r="E50" s="319">
        <f>SUM(E51,E57,E59)</f>
        <v>0</v>
      </c>
      <c r="F50" s="80"/>
      <c r="G50" s="119"/>
      <c r="H50" s="119"/>
      <c r="I50" s="119"/>
      <c r="J50" s="119"/>
      <c r="K50" s="119"/>
      <c r="L50" s="119"/>
      <c r="M50" s="119"/>
      <c r="N50" s="119"/>
      <c r="O50" s="119"/>
      <c r="P50" s="119"/>
      <c r="Q50" s="80"/>
      <c r="R50" s="80"/>
      <c r="S50" s="80"/>
      <c r="T50" s="80"/>
      <c r="U50" s="80"/>
      <c r="V50" s="80"/>
      <c r="W50" s="80"/>
      <c r="X50" s="80"/>
      <c r="Y50" s="80"/>
      <c r="Z50" s="80"/>
      <c r="AA50" s="80"/>
      <c r="AB50" s="80"/>
      <c r="AC50" s="80"/>
      <c r="AD50" s="80"/>
      <c r="AE50" s="80"/>
      <c r="AF50" s="80"/>
      <c r="AG50" s="80"/>
      <c r="AH50" s="80"/>
      <c r="AI50" s="80"/>
    </row>
    <row r="51" spans="1:35" s="6" customFormat="1">
      <c r="A51" s="119"/>
      <c r="B51" s="376" t="s">
        <v>680</v>
      </c>
      <c r="C51" s="179">
        <f>SUM(C52:C56)</f>
        <v>7.5</v>
      </c>
      <c r="D51" s="179" t="str">
        <f>IF(AND(D52="",D53="",D54="",D55="",D56=""),"",3.5)</f>
        <v/>
      </c>
      <c r="E51" s="320">
        <f>SUM(E52:E56)</f>
        <v>0</v>
      </c>
      <c r="F51" s="80"/>
      <c r="G51" s="119"/>
      <c r="H51" s="134"/>
      <c r="I51" s="119"/>
      <c r="J51" s="119"/>
      <c r="K51" s="119"/>
      <c r="L51" s="119"/>
      <c r="M51" s="119"/>
      <c r="N51" s="119"/>
      <c r="O51" s="119"/>
      <c r="P51" s="119"/>
      <c r="Q51" s="80"/>
      <c r="R51" s="80"/>
      <c r="S51" s="80"/>
      <c r="T51" s="80"/>
      <c r="U51" s="80"/>
      <c r="V51" s="80"/>
      <c r="W51" s="80"/>
      <c r="X51" s="80"/>
      <c r="Y51" s="80"/>
      <c r="Z51" s="80"/>
      <c r="AA51" s="80"/>
      <c r="AB51" s="80"/>
      <c r="AC51" s="80"/>
      <c r="AD51" s="80"/>
      <c r="AE51" s="80"/>
      <c r="AF51" s="80"/>
      <c r="AG51" s="80"/>
      <c r="AH51" s="80"/>
      <c r="AI51" s="80"/>
    </row>
    <row r="52" spans="1:35" s="6" customFormat="1" outlineLevel="1">
      <c r="A52" s="119"/>
      <c r="B52" s="377" t="s">
        <v>469</v>
      </c>
      <c r="C52" s="378">
        <v>1.5</v>
      </c>
      <c r="D52" s="378" t="str">
        <f>IF(E52="","",0.5)</f>
        <v/>
      </c>
      <c r="E52" s="321" t="str">
        <f>IF(' Community-wide initiatives'!E21="","",' Community-wide initiatives'!E21)</f>
        <v/>
      </c>
      <c r="F52" s="80"/>
      <c r="G52" s="119"/>
      <c r="H52" s="119"/>
      <c r="I52" s="119"/>
      <c r="J52" s="119"/>
      <c r="K52" s="119"/>
      <c r="L52" s="119"/>
      <c r="M52" s="119"/>
      <c r="N52" s="119"/>
      <c r="O52" s="119"/>
      <c r="P52" s="119"/>
      <c r="Q52" s="80"/>
      <c r="R52" s="80"/>
      <c r="S52" s="80"/>
      <c r="T52" s="80"/>
      <c r="U52" s="80"/>
      <c r="V52" s="80"/>
      <c r="W52" s="80"/>
      <c r="X52" s="80"/>
      <c r="Y52" s="80"/>
      <c r="Z52" s="80"/>
      <c r="AA52" s="80"/>
      <c r="AB52" s="80"/>
      <c r="AC52" s="80"/>
      <c r="AD52" s="80"/>
      <c r="AE52" s="80"/>
      <c r="AF52" s="80"/>
      <c r="AG52" s="80"/>
      <c r="AH52" s="80"/>
      <c r="AI52" s="80"/>
    </row>
    <row r="53" spans="1:35" s="6" customFormat="1" outlineLevel="1">
      <c r="A53" s="119"/>
      <c r="B53" s="377" t="s">
        <v>681</v>
      </c>
      <c r="C53" s="378">
        <v>1</v>
      </c>
      <c r="D53" s="378" t="str">
        <f>IF(E53="","",1)</f>
        <v/>
      </c>
      <c r="E53" s="321" t="str">
        <f>IF(' Community-wide initiatives'!E28="","",' Community-wide initiatives'!E28)</f>
        <v/>
      </c>
      <c r="F53" s="80"/>
      <c r="G53" s="119"/>
      <c r="H53" s="119"/>
      <c r="I53" s="119"/>
      <c r="J53" s="119"/>
      <c r="K53" s="119"/>
      <c r="L53" s="119"/>
      <c r="M53" s="119"/>
      <c r="N53" s="119"/>
      <c r="O53" s="119"/>
      <c r="P53" s="119"/>
      <c r="Q53" s="80"/>
      <c r="R53" s="80"/>
      <c r="S53" s="80"/>
      <c r="T53" s="80"/>
      <c r="U53" s="80"/>
      <c r="V53" s="80"/>
      <c r="W53" s="80"/>
      <c r="X53" s="80"/>
      <c r="Y53" s="80"/>
      <c r="Z53" s="80"/>
      <c r="AA53" s="80"/>
      <c r="AB53" s="80"/>
      <c r="AC53" s="80"/>
      <c r="AD53" s="80"/>
      <c r="AE53" s="80"/>
      <c r="AF53" s="80"/>
      <c r="AG53" s="80"/>
      <c r="AH53" s="80"/>
      <c r="AI53" s="80"/>
    </row>
    <row r="54" spans="1:35" s="6" customFormat="1" outlineLevel="1">
      <c r="A54" s="119"/>
      <c r="B54" s="377" t="s">
        <v>597</v>
      </c>
      <c r="C54" s="378">
        <v>2</v>
      </c>
      <c r="D54" s="378" t="str">
        <f>IF(E54="","",0.5)</f>
        <v/>
      </c>
      <c r="E54" s="321" t="str">
        <f>IF(SUM(' Community-wide initiatives'!E22:E24)&gt;SUM(' Community-wide initiatives'!E29:E31),' Community-wide initiatives'!E22,' Community-wide initiatives'!E29)</f>
        <v/>
      </c>
      <c r="F54" s="80"/>
      <c r="G54" s="119"/>
      <c r="H54" s="119"/>
      <c r="I54" s="119"/>
      <c r="J54" s="119"/>
      <c r="K54" s="119"/>
      <c r="L54" s="119"/>
      <c r="M54" s="119"/>
      <c r="N54" s="119"/>
      <c r="O54" s="119"/>
      <c r="P54" s="119"/>
      <c r="Q54" s="80"/>
      <c r="R54" s="80"/>
      <c r="S54" s="80"/>
      <c r="T54" s="80"/>
      <c r="U54" s="80"/>
      <c r="V54" s="80"/>
      <c r="W54" s="80"/>
      <c r="X54" s="80"/>
      <c r="Y54" s="80"/>
      <c r="Z54" s="80"/>
      <c r="AA54" s="80"/>
      <c r="AB54" s="80"/>
      <c r="AC54" s="80"/>
      <c r="AD54" s="80"/>
      <c r="AE54" s="80"/>
      <c r="AF54" s="80"/>
      <c r="AG54" s="80"/>
      <c r="AH54" s="80"/>
      <c r="AI54" s="80"/>
    </row>
    <row r="55" spans="1:35" s="6" customFormat="1" outlineLevel="1">
      <c r="A55" s="119"/>
      <c r="B55" s="377" t="s">
        <v>826</v>
      </c>
      <c r="C55" s="378">
        <v>2</v>
      </c>
      <c r="D55" s="378" t="str">
        <f>IF(E55="","",0)</f>
        <v/>
      </c>
      <c r="E55" s="321" t="str">
        <f>IF(SUM(' Community-wide initiatives'!E22:E24)&gt;SUM(' Community-wide initiatives'!E29:E31),' Community-wide initiatives'!E23,' Community-wide initiatives'!E30)</f>
        <v/>
      </c>
      <c r="F55" s="80"/>
      <c r="G55" s="119"/>
      <c r="H55" s="119"/>
      <c r="I55" s="119"/>
      <c r="J55" s="119"/>
      <c r="K55" s="119"/>
      <c r="L55" s="119"/>
      <c r="M55" s="119"/>
      <c r="N55" s="119"/>
      <c r="O55" s="119"/>
      <c r="P55" s="119"/>
      <c r="Q55" s="80"/>
      <c r="R55" s="80"/>
      <c r="S55" s="80"/>
      <c r="T55" s="80"/>
      <c r="U55" s="80"/>
      <c r="V55" s="80"/>
      <c r="W55" s="80"/>
      <c r="X55" s="80"/>
      <c r="Y55" s="80"/>
      <c r="Z55" s="80"/>
      <c r="AA55" s="80"/>
      <c r="AB55" s="80"/>
      <c r="AC55" s="80"/>
      <c r="AD55" s="80"/>
      <c r="AE55" s="80"/>
      <c r="AF55" s="80"/>
      <c r="AG55" s="80"/>
      <c r="AH55" s="80"/>
      <c r="AI55" s="80"/>
    </row>
    <row r="56" spans="1:35" s="6" customFormat="1">
      <c r="A56" s="119"/>
      <c r="B56" s="377" t="str">
        <f>' Community-wide initiatives'!A24</f>
        <v>Annual public reporting</v>
      </c>
      <c r="C56" s="378">
        <v>1</v>
      </c>
      <c r="D56" s="378" t="str">
        <f>IF(E56="","",1)</f>
        <v/>
      </c>
      <c r="E56" s="321" t="str">
        <f>' Community-wide initiatives'!P22</f>
        <v/>
      </c>
      <c r="F56" s="80"/>
      <c r="G56" s="119"/>
      <c r="H56" s="119"/>
      <c r="I56" s="119"/>
      <c r="J56" s="119"/>
      <c r="K56" s="119"/>
      <c r="L56" s="119"/>
      <c r="M56" s="119"/>
      <c r="N56" s="119"/>
      <c r="O56" s="119"/>
      <c r="P56" s="119"/>
      <c r="Q56" s="80"/>
      <c r="R56" s="80"/>
      <c r="S56" s="80"/>
      <c r="T56" s="80"/>
      <c r="U56" s="80"/>
      <c r="V56" s="80"/>
      <c r="W56" s="80"/>
      <c r="X56" s="80"/>
      <c r="Y56" s="80"/>
      <c r="Z56" s="80"/>
      <c r="AA56" s="80"/>
      <c r="AB56" s="80"/>
      <c r="AC56" s="80"/>
      <c r="AD56" s="80"/>
      <c r="AE56" s="80"/>
      <c r="AF56" s="80"/>
      <c r="AG56" s="80"/>
      <c r="AH56" s="80"/>
      <c r="AI56" s="80"/>
    </row>
    <row r="57" spans="1:35" s="6" customFormat="1" outlineLevel="1">
      <c r="A57" s="119"/>
      <c r="B57" s="376" t="s">
        <v>818</v>
      </c>
      <c r="C57" s="179">
        <f>C58</f>
        <v>2</v>
      </c>
      <c r="D57" s="179" t="str">
        <f>IF(D58="","",0)</f>
        <v/>
      </c>
      <c r="E57" s="320">
        <f>SUM(E58:E58)</f>
        <v>0</v>
      </c>
      <c r="F57" s="80"/>
      <c r="G57" s="119"/>
      <c r="H57" s="119"/>
      <c r="I57" s="119"/>
      <c r="J57" s="119"/>
      <c r="K57" s="119"/>
      <c r="L57" s="119"/>
      <c r="M57" s="119"/>
      <c r="N57" s="119"/>
      <c r="O57" s="119"/>
      <c r="P57" s="119"/>
      <c r="Q57" s="80"/>
      <c r="R57" s="80"/>
      <c r="S57" s="80"/>
      <c r="T57" s="80"/>
      <c r="U57" s="80"/>
      <c r="V57" s="80"/>
      <c r="W57" s="80"/>
      <c r="X57" s="80"/>
      <c r="Y57" s="80"/>
      <c r="Z57" s="80"/>
      <c r="AA57" s="80"/>
      <c r="AB57" s="80"/>
      <c r="AC57" s="80"/>
      <c r="AD57" s="80"/>
      <c r="AE57" s="80"/>
      <c r="AF57" s="80"/>
      <c r="AG57" s="80"/>
      <c r="AH57" s="80"/>
      <c r="AI57" s="80"/>
    </row>
    <row r="58" spans="1:35" s="6" customFormat="1" outlineLevel="1">
      <c r="A58" s="119"/>
      <c r="B58" s="377" t="str">
        <f>' Community-wide initiatives'!A38</f>
        <v>Efficient distributed energy systems planning</v>
      </c>
      <c r="C58" s="378">
        <v>2</v>
      </c>
      <c r="D58" s="378" t="str">
        <f>IF(E58="","",0)</f>
        <v/>
      </c>
      <c r="E58" s="321" t="str">
        <f>IF(AND(' Community-wide initiatives'!E38="",' Community-wide initiatives'!E39=""),"",SUM(' Community-wide initiatives'!E38:E39))</f>
        <v/>
      </c>
      <c r="F58" s="80"/>
      <c r="G58" s="119"/>
      <c r="H58" s="119"/>
      <c r="I58" s="119"/>
      <c r="J58" s="119"/>
      <c r="K58" s="119"/>
      <c r="L58" s="119"/>
      <c r="M58" s="119"/>
      <c r="N58" s="119"/>
      <c r="O58" s="119"/>
      <c r="P58" s="119"/>
      <c r="Q58" s="80"/>
      <c r="R58" s="80"/>
      <c r="S58" s="80"/>
      <c r="T58" s="80"/>
      <c r="U58" s="80"/>
      <c r="V58" s="80"/>
      <c r="W58" s="80"/>
      <c r="X58" s="80"/>
      <c r="Y58" s="80"/>
      <c r="Z58" s="80"/>
      <c r="AA58" s="80"/>
      <c r="AB58" s="80"/>
      <c r="AC58" s="80"/>
      <c r="AD58" s="80"/>
      <c r="AE58" s="80"/>
      <c r="AF58" s="80"/>
      <c r="AG58" s="80"/>
      <c r="AH58" s="80"/>
      <c r="AI58" s="80"/>
    </row>
    <row r="59" spans="1:35" s="6" customFormat="1" outlineLevel="1">
      <c r="A59" s="119"/>
      <c r="B59" s="376" t="s">
        <v>470</v>
      </c>
      <c r="C59" s="179">
        <f>SUM(C60:C61)</f>
        <v>2.5</v>
      </c>
      <c r="D59" s="179" t="str">
        <f>IF(AND(D60="",D61=""),"",1.5)</f>
        <v/>
      </c>
      <c r="E59" s="320">
        <f>SUM(E60:E61)</f>
        <v>0</v>
      </c>
      <c r="F59" s="80"/>
      <c r="G59" s="119"/>
      <c r="H59" s="119"/>
      <c r="I59" s="119"/>
      <c r="J59" s="119"/>
      <c r="K59" s="119"/>
      <c r="L59" s="119"/>
      <c r="M59" s="119"/>
      <c r="N59" s="119"/>
      <c r="O59" s="119"/>
      <c r="P59" s="119"/>
      <c r="Q59" s="80"/>
      <c r="R59" s="80"/>
      <c r="S59" s="80"/>
      <c r="T59" s="80"/>
      <c r="U59" s="80"/>
      <c r="V59" s="80"/>
      <c r="W59" s="80"/>
      <c r="X59" s="80"/>
      <c r="Y59" s="80"/>
      <c r="Z59" s="80"/>
      <c r="AA59" s="80"/>
      <c r="AB59" s="80"/>
      <c r="AC59" s="80"/>
      <c r="AD59" s="80"/>
      <c r="AE59" s="80"/>
      <c r="AF59" s="80"/>
      <c r="AG59" s="80"/>
      <c r="AH59" s="80"/>
      <c r="AI59" s="80"/>
    </row>
    <row r="60" spans="1:35" s="6" customFormat="1" outlineLevel="1">
      <c r="A60" s="119"/>
      <c r="B60" s="377" t="str">
        <f>' Community-wide initiatives'!A44</f>
        <v>Urban heat island goals</v>
      </c>
      <c r="C60" s="378">
        <v>0.5</v>
      </c>
      <c r="D60" s="378" t="str">
        <f>IF(E60="","",0.5)</f>
        <v/>
      </c>
      <c r="E60" s="321" t="str">
        <f>IF(' Community-wide initiatives'!E44="","",' Community-wide initiatives'!E44)</f>
        <v/>
      </c>
      <c r="F60" s="80"/>
      <c r="G60" s="119"/>
      <c r="H60" s="119"/>
      <c r="I60" s="119"/>
      <c r="J60" s="119"/>
      <c r="K60" s="119"/>
      <c r="L60" s="119"/>
      <c r="M60" s="119"/>
      <c r="N60" s="119"/>
      <c r="O60" s="119"/>
      <c r="P60" s="119"/>
      <c r="Q60" s="80"/>
      <c r="R60" s="80"/>
      <c r="S60" s="80"/>
      <c r="T60" s="80"/>
      <c r="U60" s="80"/>
      <c r="V60" s="80"/>
      <c r="W60" s="80"/>
      <c r="X60" s="80"/>
      <c r="Y60" s="80"/>
      <c r="Z60" s="80"/>
      <c r="AA60" s="80"/>
      <c r="AB60" s="80"/>
      <c r="AC60" s="80"/>
      <c r="AD60" s="80"/>
      <c r="AE60" s="80"/>
      <c r="AF60" s="80"/>
      <c r="AG60" s="80"/>
      <c r="AH60" s="80"/>
      <c r="AI60" s="80"/>
    </row>
    <row r="61" spans="1:35" s="6" customFormat="1" outlineLevel="1">
      <c r="A61" s="119"/>
      <c r="B61" s="377" t="str">
        <f>' Community-wide initiatives'!A45</f>
        <v>Urban heat island strategies</v>
      </c>
      <c r="C61" s="378">
        <v>2</v>
      </c>
      <c r="D61" s="378" t="str">
        <f>IF(E61="","",1)</f>
        <v/>
      </c>
      <c r="E61" s="321" t="str">
        <f>IF(' Community-wide initiatives'!E45="","",' Community-wide initiatives'!E45)</f>
        <v/>
      </c>
      <c r="F61" s="80"/>
      <c r="G61" s="119"/>
      <c r="H61" s="119"/>
      <c r="I61" s="119"/>
      <c r="J61" s="119"/>
      <c r="K61" s="119"/>
      <c r="L61" s="119"/>
      <c r="M61" s="119"/>
      <c r="N61" s="119"/>
      <c r="O61" s="119"/>
      <c r="P61" s="119"/>
      <c r="Q61" s="80"/>
      <c r="R61" s="80"/>
      <c r="S61" s="80"/>
      <c r="T61" s="80"/>
      <c r="U61" s="80"/>
      <c r="V61" s="80"/>
      <c r="W61" s="80"/>
      <c r="X61" s="80"/>
      <c r="Y61" s="80"/>
      <c r="Z61" s="80"/>
      <c r="AA61" s="80"/>
      <c r="AB61" s="80"/>
      <c r="AC61" s="80"/>
      <c r="AD61" s="80"/>
      <c r="AE61" s="80"/>
      <c r="AF61" s="80"/>
      <c r="AG61" s="80"/>
      <c r="AH61" s="80"/>
      <c r="AI61" s="80"/>
    </row>
    <row r="62" spans="1:35" s="6" customFormat="1">
      <c r="A62" s="119"/>
      <c r="B62" s="379" t="s">
        <v>487</v>
      </c>
      <c r="C62" s="380">
        <f>C63+C66+C76+C71</f>
        <v>28</v>
      </c>
      <c r="D62" s="380" t="str">
        <f>IF(AND(D63="",D66="",D71="",D76=""),"",10.5)</f>
        <v/>
      </c>
      <c r="E62" s="319">
        <f>E63+E66+E76+E71</f>
        <v>0</v>
      </c>
      <c r="F62" s="80"/>
      <c r="G62" s="119"/>
      <c r="H62" s="119"/>
      <c r="I62" s="119"/>
      <c r="J62" s="119"/>
      <c r="K62" s="119"/>
      <c r="L62" s="119"/>
      <c r="M62" s="119"/>
      <c r="N62" s="119"/>
      <c r="O62" s="119"/>
      <c r="P62" s="119"/>
      <c r="Q62" s="80"/>
      <c r="R62" s="80"/>
      <c r="S62" s="80"/>
      <c r="T62" s="80"/>
      <c r="U62" s="80"/>
      <c r="V62" s="80"/>
      <c r="W62" s="80"/>
      <c r="X62" s="80"/>
      <c r="Y62" s="80"/>
      <c r="Z62" s="80"/>
      <c r="AA62" s="80"/>
      <c r="AB62" s="80"/>
      <c r="AC62" s="80"/>
      <c r="AD62" s="80"/>
      <c r="AE62" s="80"/>
      <c r="AF62" s="80"/>
      <c r="AG62" s="80"/>
      <c r="AH62" s="80"/>
      <c r="AI62" s="80"/>
    </row>
    <row r="63" spans="1:35" s="6" customFormat="1">
      <c r="A63" s="119"/>
      <c r="B63" s="376" t="str">
        <f>'Buildings policies'!A16</f>
        <v>Stringency of building codes</v>
      </c>
      <c r="C63" s="381">
        <v>8</v>
      </c>
      <c r="D63" s="381" t="str">
        <f>IF(AND(D64="",D65=""),"",5.5)</f>
        <v/>
      </c>
      <c r="E63" s="320">
        <f>SUM(E64:E65)</f>
        <v>0</v>
      </c>
      <c r="F63" s="80"/>
      <c r="G63" s="119"/>
      <c r="H63" s="119"/>
      <c r="I63" s="119"/>
      <c r="J63" s="119"/>
      <c r="K63" s="119"/>
      <c r="L63" s="119"/>
      <c r="M63" s="119"/>
      <c r="N63" s="119"/>
      <c r="O63" s="119"/>
      <c r="P63" s="119"/>
      <c r="Q63" s="80"/>
      <c r="R63" s="80"/>
      <c r="S63" s="80"/>
      <c r="T63" s="80"/>
      <c r="U63" s="80"/>
      <c r="V63" s="80"/>
      <c r="W63" s="80"/>
      <c r="X63" s="80"/>
      <c r="Y63" s="80"/>
      <c r="Z63" s="80"/>
      <c r="AA63" s="80"/>
      <c r="AB63" s="80"/>
      <c r="AC63" s="80"/>
      <c r="AD63" s="80"/>
      <c r="AE63" s="80"/>
      <c r="AF63" s="80"/>
      <c r="AG63" s="80"/>
      <c r="AH63" s="80"/>
      <c r="AI63" s="80"/>
    </row>
    <row r="64" spans="1:35" s="6" customFormat="1" outlineLevel="1">
      <c r="A64" s="119"/>
      <c r="B64" s="377" t="str">
        <f>'Buildings policies'!A18</f>
        <v xml:space="preserve">Residential energy code </v>
      </c>
      <c r="C64" s="378">
        <v>4</v>
      </c>
      <c r="D64" s="378" t="str">
        <f>IF(E64="","",2)</f>
        <v/>
      </c>
      <c r="E64" s="321" t="str">
        <f>IF(AND('Buildings policies'!E18="",'Buildings policies'!E19="",'Buildings policies'!E20="",'Buildings policies'!E21=""),"",SUM('Buildings policies'!E18:E21))</f>
        <v/>
      </c>
      <c r="F64" s="80"/>
      <c r="G64" s="119"/>
      <c r="H64" s="119"/>
      <c r="I64" s="119"/>
      <c r="J64" s="119"/>
      <c r="K64" s="119"/>
      <c r="L64" s="119"/>
      <c r="M64" s="119"/>
      <c r="N64" s="119"/>
      <c r="O64" s="119"/>
      <c r="P64" s="119"/>
      <c r="Q64" s="80"/>
      <c r="R64" s="80"/>
      <c r="S64" s="80"/>
      <c r="T64" s="80"/>
      <c r="U64" s="80"/>
      <c r="V64" s="80"/>
      <c r="W64" s="80"/>
      <c r="X64" s="80"/>
      <c r="Y64" s="80"/>
      <c r="Z64" s="80"/>
      <c r="AA64" s="80"/>
      <c r="AB64" s="80"/>
      <c r="AC64" s="80"/>
      <c r="AD64" s="80"/>
      <c r="AE64" s="80"/>
      <c r="AF64" s="80"/>
      <c r="AG64" s="80"/>
      <c r="AH64" s="80"/>
      <c r="AI64" s="80"/>
    </row>
    <row r="65" spans="1:35" s="6" customFormat="1" outlineLevel="1">
      <c r="A65" s="119"/>
      <c r="B65" s="377" t="str">
        <f>'Buildings policies'!A22</f>
        <v xml:space="preserve">Commercial energy code </v>
      </c>
      <c r="C65" s="378">
        <v>4</v>
      </c>
      <c r="D65" s="378" t="str">
        <f>IF(E65="","",3)</f>
        <v/>
      </c>
      <c r="E65" s="321" t="str">
        <f>IF(AND('Buildings policies'!E22="",'Buildings policies'!E24="",'Buildings policies'!E25=""),"",SUM('Buildings policies'!E22:E25))</f>
        <v/>
      </c>
      <c r="F65" s="80"/>
      <c r="G65" s="119"/>
      <c r="H65" s="119"/>
      <c r="I65" s="119"/>
      <c r="J65" s="119"/>
      <c r="K65" s="119"/>
      <c r="L65" s="119"/>
      <c r="M65" s="119"/>
      <c r="N65" s="119"/>
      <c r="O65" s="119"/>
      <c r="P65" s="119"/>
      <c r="Q65" s="80"/>
      <c r="R65" s="80"/>
      <c r="S65" s="80"/>
      <c r="T65" s="80"/>
      <c r="U65" s="80"/>
      <c r="V65" s="80"/>
      <c r="W65" s="80"/>
      <c r="X65" s="80"/>
      <c r="Y65" s="80"/>
      <c r="Z65" s="80"/>
      <c r="AA65" s="80"/>
      <c r="AB65" s="80"/>
      <c r="AC65" s="80"/>
      <c r="AD65" s="80"/>
      <c r="AE65" s="80"/>
      <c r="AF65" s="80"/>
      <c r="AG65" s="80"/>
      <c r="AH65" s="80"/>
      <c r="AI65" s="80"/>
    </row>
    <row r="66" spans="1:35" s="6" customFormat="1">
      <c r="A66" s="119"/>
      <c r="B66" s="376" t="str">
        <f>'Buildings policies'!A30</f>
        <v>Building code enforcement and compliance</v>
      </c>
      <c r="C66" s="179">
        <v>6</v>
      </c>
      <c r="D66" s="179" t="str">
        <f>IF(AND(D67="",D68="",D69="",D70=""),"",2)</f>
        <v/>
      </c>
      <c r="E66" s="320">
        <f>SUM(E67:E70)</f>
        <v>0</v>
      </c>
      <c r="F66" s="80"/>
      <c r="G66" s="119"/>
      <c r="H66" s="119"/>
      <c r="I66" s="119"/>
      <c r="J66" s="119"/>
      <c r="K66" s="119"/>
      <c r="L66" s="119"/>
      <c r="M66" s="119"/>
      <c r="N66" s="119"/>
      <c r="O66" s="119"/>
      <c r="P66" s="119"/>
      <c r="Q66" s="80"/>
      <c r="R66" s="80"/>
      <c r="S66" s="80"/>
      <c r="T66" s="80"/>
      <c r="U66" s="80"/>
      <c r="V66" s="80"/>
      <c r="W66" s="80"/>
      <c r="X66" s="80"/>
      <c r="Y66" s="80"/>
      <c r="Z66" s="80"/>
      <c r="AA66" s="80"/>
      <c r="AB66" s="80"/>
      <c r="AC66" s="80"/>
      <c r="AD66" s="80"/>
      <c r="AE66" s="80"/>
      <c r="AF66" s="80"/>
      <c r="AG66" s="80"/>
      <c r="AH66" s="80"/>
      <c r="AI66" s="80"/>
    </row>
    <row r="67" spans="1:35" s="6" customFormat="1" outlineLevel="1">
      <c r="A67" s="119"/>
      <c r="B67" s="382" t="str">
        <f>'Buildings policies'!A32</f>
        <v>City staffing for building energy code compliance</v>
      </c>
      <c r="C67" s="378">
        <v>1</v>
      </c>
      <c r="D67" s="378" t="str">
        <f>IF(E67="","",0)</f>
        <v/>
      </c>
      <c r="E67" s="321" t="str">
        <f>IF('Buildings policies'!E32="","",'Buildings policies'!E32)</f>
        <v/>
      </c>
      <c r="F67" s="80"/>
      <c r="G67" s="119"/>
      <c r="H67" s="119"/>
      <c r="I67" s="119"/>
      <c r="J67" s="119"/>
      <c r="K67" s="119"/>
      <c r="L67" s="119"/>
      <c r="M67" s="119"/>
      <c r="N67" s="119"/>
      <c r="O67" s="119"/>
      <c r="P67" s="119"/>
      <c r="Q67" s="80"/>
      <c r="R67" s="80"/>
      <c r="S67" s="80"/>
      <c r="T67" s="80"/>
      <c r="U67" s="80"/>
      <c r="V67" s="80"/>
      <c r="W67" s="80"/>
      <c r="X67" s="80"/>
      <c r="Y67" s="80"/>
      <c r="Z67" s="80"/>
      <c r="AA67" s="80"/>
      <c r="AB67" s="80"/>
      <c r="AC67" s="80"/>
      <c r="AD67" s="80"/>
      <c r="AE67" s="80"/>
      <c r="AF67" s="80"/>
      <c r="AG67" s="80"/>
      <c r="AH67" s="80"/>
      <c r="AI67" s="80"/>
    </row>
    <row r="68" spans="1:35" s="6" customFormat="1" outlineLevel="1">
      <c r="A68" s="119"/>
      <c r="B68" s="382" t="str">
        <f>'Buildings policies'!A33</f>
        <v>Energy code training requirements for building code officials</v>
      </c>
      <c r="C68" s="378">
        <v>2</v>
      </c>
      <c r="D68" s="378" t="str">
        <f>IF(E68="","",2)</f>
        <v/>
      </c>
      <c r="E68" s="321" t="str">
        <f>IF('Buildings policies'!E33="","",'Buildings policies'!E33)</f>
        <v/>
      </c>
      <c r="F68" s="80"/>
      <c r="G68" s="119"/>
      <c r="H68" s="119"/>
      <c r="I68" s="119"/>
      <c r="J68" s="119"/>
      <c r="K68" s="119"/>
      <c r="L68" s="119"/>
      <c r="M68" s="119"/>
      <c r="N68" s="119"/>
      <c r="O68" s="119"/>
      <c r="P68" s="119"/>
      <c r="Q68" s="80"/>
      <c r="R68" s="80"/>
      <c r="S68" s="80"/>
      <c r="T68" s="80"/>
      <c r="U68" s="80"/>
      <c r="V68" s="80"/>
      <c r="W68" s="80"/>
      <c r="X68" s="80"/>
      <c r="Y68" s="80"/>
      <c r="Z68" s="80"/>
      <c r="AA68" s="80"/>
      <c r="AB68" s="80"/>
      <c r="AC68" s="80"/>
      <c r="AD68" s="80"/>
      <c r="AE68" s="80"/>
      <c r="AF68" s="80"/>
      <c r="AG68" s="80"/>
      <c r="AH68" s="80"/>
      <c r="AI68" s="80"/>
    </row>
    <row r="69" spans="1:35" s="6" customFormat="1" outlineLevel="1">
      <c r="A69" s="119"/>
      <c r="B69" s="382" t="str">
        <f>'Buildings policies'!A34</f>
        <v>Up-front support for building energy code compliance</v>
      </c>
      <c r="C69" s="378">
        <v>1</v>
      </c>
      <c r="D69" s="378" t="str">
        <f>IF(E69="","",1)</f>
        <v/>
      </c>
      <c r="E69" s="321" t="str">
        <f>IF('Buildings policies'!E34="","",'Buildings policies'!E34)</f>
        <v/>
      </c>
      <c r="F69" s="80"/>
      <c r="G69" s="119"/>
      <c r="H69" s="119"/>
      <c r="I69" s="119"/>
      <c r="J69" s="119"/>
      <c r="K69" s="119"/>
      <c r="L69" s="119"/>
      <c r="M69" s="119"/>
      <c r="N69" s="119"/>
      <c r="O69" s="119"/>
      <c r="P69" s="119"/>
      <c r="Q69" s="80"/>
      <c r="R69" s="80"/>
      <c r="S69" s="80"/>
      <c r="T69" s="80"/>
      <c r="U69" s="80"/>
      <c r="V69" s="80"/>
      <c r="W69" s="80"/>
      <c r="X69" s="80"/>
      <c r="Y69" s="80"/>
      <c r="Z69" s="80"/>
      <c r="AA69" s="80"/>
      <c r="AB69" s="80"/>
      <c r="AC69" s="80"/>
      <c r="AD69" s="80"/>
      <c r="AE69" s="80"/>
      <c r="AF69" s="80"/>
      <c r="AG69" s="80"/>
      <c r="AH69" s="80"/>
      <c r="AI69" s="80"/>
    </row>
    <row r="70" spans="1:35" s="6" customFormat="1" outlineLevel="1">
      <c r="A70" s="119"/>
      <c r="B70" s="382" t="str">
        <f>'Buildings policies'!A35</f>
        <v>Energy code compliance strategies</v>
      </c>
      <c r="C70" s="378">
        <v>2</v>
      </c>
      <c r="D70" s="378" t="str">
        <f>IF(E70="","",0)</f>
        <v/>
      </c>
      <c r="E70" s="321" t="str">
        <f>'Buildings policies'!K35</f>
        <v/>
      </c>
      <c r="F70" s="80"/>
      <c r="G70" s="119"/>
      <c r="H70" s="119"/>
      <c r="I70" s="119"/>
      <c r="J70" s="119"/>
      <c r="K70" s="119"/>
      <c r="L70" s="119"/>
      <c r="M70" s="119"/>
      <c r="N70" s="119"/>
      <c r="O70" s="119"/>
      <c r="P70" s="119"/>
      <c r="Q70" s="80"/>
      <c r="R70" s="80"/>
      <c r="S70" s="80"/>
      <c r="T70" s="80"/>
      <c r="U70" s="80"/>
      <c r="V70" s="80"/>
      <c r="W70" s="80"/>
      <c r="X70" s="80"/>
      <c r="Y70" s="80"/>
      <c r="Z70" s="80"/>
      <c r="AA70" s="80"/>
      <c r="AB70" s="80"/>
      <c r="AC70" s="80"/>
      <c r="AD70" s="80"/>
      <c r="AE70" s="80"/>
      <c r="AF70" s="80"/>
      <c r="AG70" s="80"/>
      <c r="AH70" s="80"/>
      <c r="AI70" s="80"/>
    </row>
    <row r="71" spans="1:35" s="6" customFormat="1">
      <c r="A71" s="119"/>
      <c r="B71" s="376" t="str">
        <f>'Buildings policies'!A38</f>
        <v>Requirements and incentives</v>
      </c>
      <c r="C71" s="383">
        <v>8</v>
      </c>
      <c r="D71" s="383" t="str">
        <f>IF(AND(D72="",D73="",D74="",D75=""),"",2)</f>
        <v/>
      </c>
      <c r="E71" s="320">
        <f>SUM(E72:E75)</f>
        <v>0</v>
      </c>
      <c r="F71" s="80"/>
      <c r="G71" s="119"/>
      <c r="H71" s="119"/>
      <c r="I71" s="119"/>
      <c r="J71" s="119"/>
      <c r="K71" s="119"/>
      <c r="L71" s="119"/>
      <c r="M71" s="119"/>
      <c r="N71" s="119"/>
      <c r="O71" s="119"/>
      <c r="P71" s="119"/>
      <c r="Q71" s="80"/>
      <c r="R71" s="80"/>
      <c r="S71" s="80"/>
      <c r="T71" s="80"/>
      <c r="U71" s="80"/>
      <c r="V71" s="80"/>
      <c r="W71" s="80"/>
      <c r="X71" s="80"/>
      <c r="Y71" s="80"/>
      <c r="Z71" s="80"/>
      <c r="AA71" s="80"/>
      <c r="AB71" s="80"/>
      <c r="AC71" s="80"/>
      <c r="AD71" s="80"/>
      <c r="AE71" s="80"/>
      <c r="AF71" s="80"/>
      <c r="AG71" s="80"/>
      <c r="AH71" s="80"/>
      <c r="AI71" s="80"/>
    </row>
    <row r="72" spans="1:35" s="6" customFormat="1">
      <c r="A72" s="119"/>
      <c r="B72" s="377" t="str">
        <f>'Buildings policies'!A40</f>
        <v>Energy audit requirements</v>
      </c>
      <c r="C72" s="378">
        <v>1</v>
      </c>
      <c r="D72" s="378" t="str">
        <f>IF(E72="","",0)</f>
        <v/>
      </c>
      <c r="E72" s="321" t="str">
        <f>IF('Buildings policies'!E40="","",'Buildings policies'!E40)</f>
        <v/>
      </c>
      <c r="F72" s="80"/>
      <c r="G72" s="119"/>
      <c r="H72" s="119"/>
      <c r="I72" s="119"/>
      <c r="J72" s="119"/>
      <c r="K72" s="119"/>
      <c r="L72" s="119"/>
      <c r="M72" s="119"/>
      <c r="N72" s="119"/>
      <c r="O72" s="119"/>
      <c r="P72" s="119"/>
      <c r="Q72" s="80"/>
      <c r="R72" s="80"/>
      <c r="S72" s="80"/>
      <c r="T72" s="80"/>
      <c r="U72" s="80"/>
      <c r="V72" s="80"/>
      <c r="W72" s="80"/>
      <c r="X72" s="80"/>
      <c r="Y72" s="80"/>
      <c r="Z72" s="80"/>
      <c r="AA72" s="80"/>
      <c r="AB72" s="80"/>
      <c r="AC72" s="80"/>
      <c r="AD72" s="80"/>
      <c r="AE72" s="80"/>
      <c r="AF72" s="80"/>
      <c r="AG72" s="80"/>
      <c r="AH72" s="80"/>
      <c r="AI72" s="80"/>
    </row>
    <row r="73" spans="1:35" s="6" customFormat="1" outlineLevel="1">
      <c r="A73" s="119"/>
      <c r="B73" s="377" t="str">
        <f>'Buildings policies'!A41</f>
        <v>Above-code requirements for certain private buildings</v>
      </c>
      <c r="C73" s="378">
        <v>2</v>
      </c>
      <c r="D73" s="378" t="str">
        <f>IF(E73="","",0)</f>
        <v/>
      </c>
      <c r="E73" s="321" t="str">
        <f>IF('Buildings policies'!E41="","",'Buildings policies'!E41)</f>
        <v/>
      </c>
      <c r="F73" s="80"/>
      <c r="G73" s="119"/>
      <c r="H73" s="119"/>
      <c r="I73" s="119"/>
      <c r="J73" s="119"/>
      <c r="K73" s="119"/>
      <c r="L73" s="119"/>
      <c r="M73" s="119"/>
      <c r="N73" s="119"/>
      <c r="O73" s="119"/>
      <c r="P73" s="119"/>
      <c r="Q73" s="80"/>
      <c r="R73" s="80"/>
      <c r="S73" s="80"/>
      <c r="T73" s="80"/>
      <c r="U73" s="80"/>
      <c r="V73" s="80"/>
      <c r="W73" s="80"/>
      <c r="X73" s="80"/>
      <c r="Y73" s="80"/>
      <c r="Z73" s="80"/>
      <c r="AA73" s="80"/>
      <c r="AB73" s="80"/>
      <c r="AC73" s="80"/>
      <c r="AD73" s="80"/>
      <c r="AE73" s="80"/>
      <c r="AF73" s="80"/>
      <c r="AG73" s="80"/>
      <c r="AH73" s="80"/>
      <c r="AI73" s="80"/>
    </row>
    <row r="74" spans="1:35" s="6" customFormat="1" outlineLevel="1">
      <c r="A74" s="119"/>
      <c r="B74" s="377" t="str">
        <f>'Buildings policies'!A42</f>
        <v>Retrofit requirements</v>
      </c>
      <c r="C74" s="378">
        <v>2</v>
      </c>
      <c r="D74" s="378" t="str">
        <f>IF(E74="","",0)</f>
        <v/>
      </c>
      <c r="E74" s="321" t="str">
        <f>IF('Buildings policies'!E42="","",'Buildings policies'!E42)</f>
        <v/>
      </c>
      <c r="F74" s="80"/>
      <c r="G74" s="119"/>
      <c r="H74" s="119"/>
      <c r="I74" s="119"/>
      <c r="J74" s="119"/>
      <c r="K74" s="119"/>
      <c r="L74" s="119"/>
      <c r="M74" s="119"/>
      <c r="N74" s="119"/>
      <c r="O74" s="119"/>
      <c r="P74" s="119"/>
      <c r="Q74" s="80"/>
      <c r="R74" s="80"/>
      <c r="S74" s="80"/>
      <c r="T74" s="80"/>
      <c r="U74" s="80"/>
      <c r="V74" s="80"/>
      <c r="W74" s="80"/>
      <c r="X74" s="80"/>
      <c r="Y74" s="80"/>
      <c r="Z74" s="80"/>
      <c r="AA74" s="80"/>
      <c r="AB74" s="80"/>
      <c r="AC74" s="80"/>
      <c r="AD74" s="80"/>
      <c r="AE74" s="80"/>
      <c r="AF74" s="80"/>
      <c r="AG74" s="80"/>
      <c r="AH74" s="80"/>
      <c r="AI74" s="80"/>
    </row>
    <row r="75" spans="1:35" s="6" customFormat="1" outlineLevel="1">
      <c r="A75" s="119"/>
      <c r="B75" s="377" t="str">
        <f>'Buildings policies'!A43</f>
        <v>Incentives or finance programs</v>
      </c>
      <c r="C75" s="378">
        <v>3</v>
      </c>
      <c r="D75" s="378" t="str">
        <f>IF(E75="","",1.5)</f>
        <v/>
      </c>
      <c r="E75" s="321" t="str">
        <f>IF('Buildings policies'!E43="","",'Buildings policies'!E43)</f>
        <v/>
      </c>
      <c r="F75" s="80"/>
      <c r="G75" s="119"/>
      <c r="H75" s="119"/>
      <c r="I75" s="119"/>
      <c r="J75" s="119"/>
      <c r="K75" s="119"/>
      <c r="L75" s="119"/>
      <c r="M75" s="119"/>
      <c r="N75" s="119"/>
      <c r="O75" s="119"/>
      <c r="P75" s="119"/>
      <c r="Q75" s="80"/>
      <c r="R75" s="80"/>
      <c r="S75" s="80"/>
      <c r="T75" s="80"/>
      <c r="U75" s="80"/>
      <c r="V75" s="80"/>
      <c r="W75" s="80"/>
      <c r="X75" s="80"/>
      <c r="Y75" s="80"/>
      <c r="Z75" s="80"/>
      <c r="AA75" s="80"/>
      <c r="AB75" s="80"/>
      <c r="AC75" s="80"/>
      <c r="AD75" s="80"/>
      <c r="AE75" s="80"/>
      <c r="AF75" s="80"/>
      <c r="AG75" s="80"/>
      <c r="AH75" s="80"/>
      <c r="AI75" s="80"/>
    </row>
    <row r="76" spans="1:35" s="6" customFormat="1">
      <c r="A76" s="119"/>
      <c r="B76" s="376" t="str">
        <f>'Buildings policies'!A45</f>
        <v>Benchmarking and transparency</v>
      </c>
      <c r="C76" s="179">
        <v>6</v>
      </c>
      <c r="D76" s="179" t="str">
        <f>IF(AND(D77="",D78=""),"",0.5)</f>
        <v/>
      </c>
      <c r="E76" s="320">
        <f>SUM(E77:E78)</f>
        <v>0</v>
      </c>
      <c r="F76" s="80"/>
      <c r="G76" s="119"/>
      <c r="H76" s="119"/>
      <c r="I76" s="119"/>
      <c r="J76" s="119"/>
      <c r="K76" s="119"/>
      <c r="L76" s="119"/>
      <c r="M76" s="119"/>
      <c r="N76" s="119"/>
      <c r="O76" s="119"/>
      <c r="P76" s="119"/>
      <c r="Q76" s="80"/>
      <c r="R76" s="80"/>
      <c r="S76" s="80"/>
      <c r="T76" s="80"/>
      <c r="U76" s="80"/>
      <c r="V76" s="80"/>
      <c r="W76" s="80"/>
      <c r="X76" s="80"/>
      <c r="Y76" s="80"/>
      <c r="Z76" s="80"/>
      <c r="AA76" s="80"/>
      <c r="AB76" s="80"/>
      <c r="AC76" s="80"/>
      <c r="AD76" s="80"/>
      <c r="AE76" s="80"/>
      <c r="AF76" s="80"/>
      <c r="AG76" s="80"/>
      <c r="AH76" s="80"/>
      <c r="AI76" s="80"/>
    </row>
    <row r="77" spans="1:35" s="6" customFormat="1" outlineLevel="1">
      <c r="A77" s="119"/>
      <c r="B77" s="377" t="s">
        <v>517</v>
      </c>
      <c r="C77" s="378">
        <v>3</v>
      </c>
      <c r="D77" s="378" t="str">
        <f>IF(E77="","",0)</f>
        <v/>
      </c>
      <c r="E77" s="321" t="str">
        <f>IF(AND('Buildings policies'!E47="",'Buildings policies'!E48="",'Buildings policies'!E49="",'Buildings policies'!E50="",'Buildings policies'!E52="",'Buildings policies'!E53=""),"",SUM('Buildings policies'!E47:E53))</f>
        <v/>
      </c>
      <c r="F77" s="80"/>
      <c r="G77" s="119"/>
      <c r="H77" s="119"/>
      <c r="I77" s="119"/>
      <c r="J77" s="119"/>
      <c r="K77" s="119"/>
      <c r="L77" s="119"/>
      <c r="M77" s="119"/>
      <c r="N77" s="119"/>
      <c r="O77" s="119"/>
      <c r="P77" s="119"/>
      <c r="Q77" s="80"/>
      <c r="R77" s="80"/>
      <c r="S77" s="80"/>
      <c r="T77" s="80"/>
      <c r="U77" s="80"/>
      <c r="V77" s="80"/>
      <c r="W77" s="80"/>
      <c r="X77" s="80"/>
      <c r="Y77" s="80"/>
      <c r="Z77" s="80"/>
      <c r="AA77" s="80"/>
      <c r="AB77" s="80"/>
      <c r="AC77" s="80"/>
      <c r="AD77" s="80"/>
      <c r="AE77" s="80"/>
      <c r="AF77" s="80"/>
      <c r="AG77" s="80"/>
      <c r="AH77" s="80"/>
      <c r="AI77" s="80"/>
    </row>
    <row r="78" spans="1:35" s="6" customFormat="1" outlineLevel="1">
      <c r="A78" s="119"/>
      <c r="B78" s="377" t="s">
        <v>518</v>
      </c>
      <c r="C78" s="378">
        <v>3</v>
      </c>
      <c r="D78" s="378" t="str">
        <f>IF(E78="","",0.5)</f>
        <v/>
      </c>
      <c r="E78" s="321" t="str">
        <f>IF(AND('Buildings policies'!E54="",'Buildings policies'!E55="",'Buildings policies'!E56="",'Buildings policies'!E57="",'Buildings policies'!E59="",'Buildings policies'!E60="",'Buildings policies'!E61=""),"",SUM('Buildings policies'!E54:E61))</f>
        <v/>
      </c>
      <c r="F78" s="80"/>
      <c r="G78" s="119"/>
      <c r="H78" s="119"/>
      <c r="I78" s="119"/>
      <c r="J78" s="119"/>
      <c r="K78" s="119"/>
      <c r="L78" s="119"/>
      <c r="M78" s="119"/>
      <c r="N78" s="119"/>
      <c r="O78" s="119"/>
      <c r="P78" s="119"/>
      <c r="Q78" s="80"/>
      <c r="R78" s="80"/>
      <c r="S78" s="80"/>
      <c r="T78" s="80"/>
      <c r="U78" s="80"/>
      <c r="V78" s="80"/>
      <c r="W78" s="80"/>
      <c r="X78" s="80"/>
      <c r="Y78" s="80"/>
      <c r="Z78" s="80"/>
      <c r="AA78" s="80"/>
      <c r="AB78" s="80"/>
      <c r="AC78" s="80"/>
      <c r="AD78" s="80"/>
      <c r="AE78" s="80"/>
      <c r="AF78" s="80"/>
      <c r="AG78" s="80"/>
      <c r="AH78" s="80"/>
      <c r="AI78" s="80"/>
    </row>
    <row r="79" spans="1:35" s="6" customFormat="1">
      <c r="A79" s="119"/>
      <c r="B79" s="379" t="s">
        <v>514</v>
      </c>
      <c r="C79" s="380">
        <f>C80+C86+C91+C83</f>
        <v>20</v>
      </c>
      <c r="D79" s="380" t="str">
        <f>IF(AND(D80="",D83="",D86="",D91=""),"",9.5)</f>
        <v/>
      </c>
      <c r="E79" s="319">
        <f>E80+E86+E91+E83</f>
        <v>0</v>
      </c>
      <c r="F79" s="80"/>
      <c r="G79" s="119"/>
      <c r="H79" s="119"/>
      <c r="I79" s="119"/>
      <c r="J79" s="119"/>
      <c r="K79" s="119"/>
      <c r="L79" s="119"/>
      <c r="M79" s="119"/>
      <c r="N79" s="119"/>
      <c r="O79" s="119"/>
      <c r="P79" s="119"/>
      <c r="Q79" s="80"/>
      <c r="R79" s="80"/>
      <c r="S79" s="80"/>
      <c r="T79" s="80"/>
      <c r="U79" s="80"/>
      <c r="V79" s="80"/>
      <c r="W79" s="80"/>
      <c r="X79" s="80"/>
      <c r="Y79" s="80"/>
      <c r="Z79" s="80"/>
      <c r="AA79" s="80"/>
      <c r="AB79" s="80"/>
      <c r="AC79" s="80"/>
      <c r="AD79" s="80"/>
      <c r="AE79" s="80"/>
      <c r="AF79" s="80"/>
      <c r="AG79" s="80"/>
      <c r="AH79" s="80"/>
      <c r="AI79" s="80"/>
    </row>
    <row r="80" spans="1:35" s="6" customFormat="1">
      <c r="A80" s="119"/>
      <c r="B80" s="376" t="s">
        <v>537</v>
      </c>
      <c r="C80" s="179">
        <v>9</v>
      </c>
      <c r="D80" s="179" t="str">
        <f>IF(AND(D81="",D82=""),"",3.5)</f>
        <v/>
      </c>
      <c r="E80" s="320">
        <f>SUM(E81:E82)</f>
        <v>0</v>
      </c>
      <c r="F80" s="80"/>
      <c r="G80" s="119"/>
      <c r="H80" s="119"/>
      <c r="I80" s="119"/>
      <c r="J80" s="119"/>
      <c r="K80" s="119"/>
      <c r="L80" s="119"/>
      <c r="M80" s="119"/>
      <c r="N80" s="119"/>
      <c r="O80" s="119"/>
      <c r="P80" s="119"/>
      <c r="Q80" s="80"/>
      <c r="R80" s="80"/>
      <c r="S80" s="80"/>
      <c r="T80" s="80"/>
      <c r="U80" s="80"/>
      <c r="V80" s="80"/>
      <c r="W80" s="80"/>
      <c r="X80" s="80"/>
      <c r="Y80" s="80"/>
      <c r="Z80" s="80"/>
      <c r="AA80" s="80"/>
      <c r="AB80" s="80"/>
      <c r="AC80" s="80"/>
      <c r="AD80" s="80"/>
      <c r="AE80" s="80"/>
      <c r="AF80" s="80"/>
      <c r="AG80" s="80"/>
      <c r="AH80" s="80"/>
      <c r="AI80" s="80"/>
    </row>
    <row r="81" spans="1:35" s="6" customFormat="1" outlineLevel="1">
      <c r="A81" s="119"/>
      <c r="B81" s="377" t="s">
        <v>464</v>
      </c>
      <c r="C81" s="378">
        <v>4.5</v>
      </c>
      <c r="D81" s="378" t="str">
        <f>IF(E81="","",2)</f>
        <v/>
      </c>
      <c r="E81" s="321" t="str">
        <f>IF(AND('Energy and water utilities'!E24="",'Energy and water utilities'!E26="",'Energy and water utilities'!E30="",'Energy and water utilities'!E32=""),"",SUM('Energy and water utilities'!E24:E32))</f>
        <v/>
      </c>
      <c r="F81" s="80"/>
      <c r="G81" s="119"/>
      <c r="H81" s="119"/>
      <c r="I81" s="119"/>
      <c r="J81" s="119"/>
      <c r="K81" s="119"/>
      <c r="L81" s="119"/>
      <c r="M81" s="119"/>
      <c r="N81" s="119"/>
      <c r="O81" s="119"/>
      <c r="P81" s="119"/>
      <c r="Q81" s="80"/>
      <c r="R81" s="80"/>
      <c r="S81" s="80"/>
      <c r="T81" s="80"/>
      <c r="U81" s="80"/>
      <c r="V81" s="80"/>
      <c r="W81" s="80"/>
      <c r="X81" s="80"/>
      <c r="Y81" s="80"/>
      <c r="Z81" s="80"/>
      <c r="AA81" s="80"/>
      <c r="AB81" s="80"/>
      <c r="AC81" s="80"/>
      <c r="AD81" s="80"/>
      <c r="AE81" s="80"/>
      <c r="AF81" s="80"/>
      <c r="AG81" s="80"/>
      <c r="AH81" s="80"/>
      <c r="AI81" s="80"/>
    </row>
    <row r="82" spans="1:35" s="6" customFormat="1" outlineLevel="1">
      <c r="A82" s="119"/>
      <c r="B82" s="377" t="s">
        <v>463</v>
      </c>
      <c r="C82" s="378">
        <v>4.5</v>
      </c>
      <c r="D82" s="378" t="str">
        <f>IF(E82="","",1)</f>
        <v/>
      </c>
      <c r="E82" s="321" t="str">
        <f>IF(AND('Energy and water utilities'!E36="",'Energy and water utilities'!E37=""),"",SUM('Energy and water utilities'!E36:E37))</f>
        <v/>
      </c>
      <c r="F82" s="80"/>
      <c r="G82" s="119"/>
      <c r="H82" s="119"/>
      <c r="I82" s="119"/>
      <c r="J82" s="119"/>
      <c r="K82" s="119"/>
      <c r="L82" s="119"/>
      <c r="M82" s="119"/>
      <c r="N82" s="119"/>
      <c r="O82" s="119"/>
      <c r="P82" s="119"/>
      <c r="Q82" s="80"/>
      <c r="R82" s="80"/>
      <c r="S82" s="80"/>
      <c r="T82" s="80"/>
      <c r="U82" s="80"/>
      <c r="V82" s="80"/>
      <c r="W82" s="80"/>
      <c r="X82" s="80"/>
      <c r="Y82" s="80"/>
      <c r="Z82" s="80"/>
      <c r="AA82" s="80"/>
      <c r="AB82" s="80"/>
      <c r="AC82" s="80"/>
      <c r="AD82" s="80"/>
      <c r="AE82" s="80"/>
      <c r="AF82" s="80"/>
      <c r="AG82" s="80"/>
      <c r="AH82" s="80"/>
      <c r="AI82" s="80"/>
    </row>
    <row r="83" spans="1:35" s="6" customFormat="1" outlineLevel="1">
      <c r="A83" s="119"/>
      <c r="B83" s="376" t="s">
        <v>581</v>
      </c>
      <c r="C83" s="179">
        <v>4</v>
      </c>
      <c r="D83" s="179" t="str">
        <f>IF(AND(D84="",D85=""),"",2)</f>
        <v/>
      </c>
      <c r="E83" s="320">
        <f>SUM(E84:E85)</f>
        <v>0</v>
      </c>
      <c r="F83" s="80"/>
      <c r="G83" s="119"/>
      <c r="H83" s="119"/>
      <c r="I83" s="119"/>
      <c r="J83" s="119"/>
      <c r="K83" s="119"/>
      <c r="L83" s="119"/>
      <c r="M83" s="119"/>
      <c r="N83" s="119"/>
      <c r="O83" s="119"/>
      <c r="P83" s="119"/>
      <c r="Q83" s="80"/>
      <c r="R83" s="80"/>
      <c r="S83" s="80"/>
      <c r="T83" s="80"/>
      <c r="U83" s="80"/>
      <c r="V83" s="80"/>
      <c r="W83" s="80"/>
      <c r="X83" s="80"/>
      <c r="Y83" s="80"/>
      <c r="Z83" s="80"/>
      <c r="AA83" s="80"/>
      <c r="AB83" s="80"/>
      <c r="AC83" s="80"/>
      <c r="AD83" s="80"/>
      <c r="AE83" s="80"/>
      <c r="AF83" s="80"/>
      <c r="AG83" s="80"/>
      <c r="AH83" s="80"/>
      <c r="AI83" s="80"/>
    </row>
    <row r="84" spans="1:35" s="6" customFormat="1" outlineLevel="1">
      <c r="A84" s="119"/>
      <c r="B84" s="377" t="s">
        <v>571</v>
      </c>
      <c r="C84" s="378">
        <v>2</v>
      </c>
      <c r="D84" s="378" t="str">
        <f>IF(E84="","",1)</f>
        <v/>
      </c>
      <c r="E84" s="321" t="str">
        <f>IF(AND('Energy and water utilities'!E41="",'Energy and water utilities'!E43=""),"",SUM('Energy and water utilities'!E41:E44))</f>
        <v/>
      </c>
      <c r="F84" s="80"/>
      <c r="G84" s="119"/>
      <c r="H84" s="119"/>
      <c r="I84" s="119"/>
      <c r="J84" s="119"/>
      <c r="K84" s="119"/>
      <c r="L84" s="119"/>
      <c r="M84" s="119"/>
      <c r="N84" s="119"/>
      <c r="O84" s="119"/>
      <c r="P84" s="119"/>
      <c r="Q84" s="80"/>
      <c r="R84" s="80"/>
      <c r="S84" s="80"/>
      <c r="T84" s="80"/>
      <c r="U84" s="80"/>
      <c r="V84" s="80"/>
      <c r="W84" s="80"/>
      <c r="X84" s="80"/>
      <c r="Y84" s="80"/>
      <c r="Z84" s="80"/>
      <c r="AA84" s="80"/>
      <c r="AB84" s="80"/>
      <c r="AC84" s="80"/>
      <c r="AD84" s="80"/>
      <c r="AE84" s="80"/>
      <c r="AF84" s="80"/>
      <c r="AG84" s="80"/>
      <c r="AH84" s="80"/>
      <c r="AI84" s="80"/>
    </row>
    <row r="85" spans="1:35" s="6" customFormat="1" outlineLevel="1">
      <c r="A85" s="119"/>
      <c r="B85" s="377" t="s">
        <v>572</v>
      </c>
      <c r="C85" s="378">
        <v>2</v>
      </c>
      <c r="D85" s="378" t="str">
        <f>IF(E85="","",2)</f>
        <v/>
      </c>
      <c r="E85" s="321" t="str">
        <f>IF(AND('Energy and water utilities'!E45="",'Energy and water utilities'!E48=""),"",SUM('Energy and water utilities'!E45:E48))</f>
        <v/>
      </c>
      <c r="F85" s="80"/>
      <c r="G85" s="119"/>
      <c r="H85" s="119"/>
      <c r="I85" s="119"/>
      <c r="J85" s="119"/>
      <c r="K85" s="119"/>
      <c r="L85" s="119"/>
      <c r="M85" s="119"/>
      <c r="N85" s="119"/>
      <c r="O85" s="119"/>
      <c r="P85" s="119"/>
      <c r="Q85" s="80"/>
      <c r="R85" s="80"/>
      <c r="S85" s="80"/>
      <c r="T85" s="80"/>
      <c r="U85" s="80"/>
      <c r="V85" s="80"/>
      <c r="W85" s="80"/>
      <c r="X85" s="80"/>
      <c r="Y85" s="80"/>
      <c r="Z85" s="80"/>
      <c r="AA85" s="80"/>
      <c r="AB85" s="80"/>
      <c r="AC85" s="80"/>
      <c r="AD85" s="80"/>
      <c r="AE85" s="80"/>
      <c r="AF85" s="80"/>
      <c r="AG85" s="80"/>
      <c r="AH85" s="80"/>
      <c r="AI85" s="80"/>
    </row>
    <row r="86" spans="1:35" s="6" customFormat="1">
      <c r="A86" s="119"/>
      <c r="B86" s="376" t="s">
        <v>535</v>
      </c>
      <c r="C86" s="179">
        <v>2</v>
      </c>
      <c r="D86" s="179" t="str">
        <f>IF(AND(D87="",D88="",D89="",D90=""),"",1)</f>
        <v/>
      </c>
      <c r="E86" s="320">
        <f>SUM(E87:E90)</f>
        <v>0</v>
      </c>
      <c r="F86" s="80"/>
      <c r="G86" s="119"/>
      <c r="H86" s="119"/>
      <c r="I86" s="119"/>
      <c r="J86" s="119"/>
      <c r="K86" s="119"/>
      <c r="L86" s="119"/>
      <c r="M86" s="119"/>
      <c r="N86" s="119"/>
      <c r="O86" s="119"/>
      <c r="P86" s="119"/>
      <c r="Q86" s="80"/>
      <c r="R86" s="80"/>
      <c r="S86" s="80"/>
      <c r="T86" s="80"/>
      <c r="U86" s="80"/>
      <c r="V86" s="80"/>
      <c r="W86" s="80"/>
      <c r="X86" s="80"/>
      <c r="Y86" s="80"/>
      <c r="Z86" s="80"/>
      <c r="AA86" s="80"/>
      <c r="AB86" s="80"/>
      <c r="AC86" s="80"/>
      <c r="AD86" s="80"/>
      <c r="AE86" s="80"/>
      <c r="AF86" s="80"/>
      <c r="AG86" s="80"/>
      <c r="AH86" s="80"/>
      <c r="AI86" s="80"/>
    </row>
    <row r="87" spans="1:35" s="6" customFormat="1" outlineLevel="1">
      <c r="A87" s="119"/>
      <c r="B87" s="377" t="str">
        <f>'Energy and water utilities'!A52</f>
        <v>Advocacy</v>
      </c>
      <c r="C87" s="378">
        <v>0.5</v>
      </c>
      <c r="D87" s="378" t="str">
        <f>IF(E87="","",0)</f>
        <v/>
      </c>
      <c r="E87" s="321" t="str">
        <f>IF('Energy and water utilities'!E52="","",SUM('Energy and water utilities'!E52))</f>
        <v/>
      </c>
      <c r="F87" s="80"/>
      <c r="G87" s="119"/>
      <c r="H87" s="119"/>
      <c r="I87" s="119"/>
      <c r="J87" s="119"/>
      <c r="K87" s="119"/>
      <c r="L87" s="119"/>
      <c r="M87" s="119"/>
      <c r="N87" s="119"/>
      <c r="O87" s="119"/>
      <c r="P87" s="119"/>
      <c r="Q87" s="80"/>
      <c r="R87" s="80"/>
      <c r="S87" s="80"/>
      <c r="T87" s="80"/>
      <c r="U87" s="80"/>
      <c r="V87" s="80"/>
      <c r="W87" s="80"/>
      <c r="X87" s="80"/>
      <c r="Y87" s="80"/>
      <c r="Z87" s="80"/>
      <c r="AA87" s="80"/>
      <c r="AB87" s="80"/>
      <c r="AC87" s="80"/>
      <c r="AD87" s="80"/>
      <c r="AE87" s="80"/>
      <c r="AF87" s="80"/>
      <c r="AG87" s="80"/>
      <c r="AH87" s="80"/>
      <c r="AI87" s="80"/>
    </row>
    <row r="88" spans="1:35" s="6" customFormat="1" outlineLevel="1">
      <c r="A88" s="119"/>
      <c r="B88" s="377" t="str">
        <f>'Energy and water utilities'!A53</f>
        <v>Green Button Online</v>
      </c>
      <c r="C88" s="378">
        <v>0.5</v>
      </c>
      <c r="D88" s="378" t="str">
        <f>IF(E88="","",0.5)</f>
        <v/>
      </c>
      <c r="E88" s="321" t="str">
        <f>IF('Energy and water utilities'!E53="","",SUM('Energy and water utilities'!E53))</f>
        <v/>
      </c>
      <c r="F88" s="80"/>
      <c r="G88" s="119"/>
      <c r="H88" s="119"/>
      <c r="I88" s="119"/>
      <c r="J88" s="119"/>
      <c r="K88" s="119"/>
      <c r="L88" s="119"/>
      <c r="M88" s="119"/>
      <c r="N88" s="119"/>
      <c r="O88" s="119"/>
      <c r="P88" s="119"/>
      <c r="Q88" s="80"/>
      <c r="R88" s="80"/>
      <c r="S88" s="80"/>
      <c r="T88" s="80"/>
      <c r="U88" s="80"/>
      <c r="V88" s="80"/>
      <c r="W88" s="80"/>
      <c r="X88" s="80"/>
      <c r="Y88" s="80"/>
      <c r="Z88" s="80"/>
      <c r="AA88" s="80"/>
      <c r="AB88" s="80"/>
      <c r="AC88" s="80"/>
      <c r="AD88" s="80"/>
      <c r="AE88" s="80"/>
      <c r="AF88" s="80"/>
      <c r="AG88" s="80"/>
      <c r="AH88" s="80"/>
      <c r="AI88" s="80"/>
    </row>
    <row r="89" spans="1:35" s="6" customFormat="1" outlineLevel="1">
      <c r="A89" s="119"/>
      <c r="B89" s="377" t="str">
        <f>'Energy and water utilities'!A54</f>
        <v>Benchmarking</v>
      </c>
      <c r="C89" s="378">
        <v>0.5</v>
      </c>
      <c r="D89" s="378" t="str">
        <f>IF(E89="","",0)</f>
        <v/>
      </c>
      <c r="E89" s="321" t="str">
        <f>IF('Energy and water utilities'!E54="","",SUM('Energy and water utilities'!E54))</f>
        <v/>
      </c>
      <c r="F89" s="80"/>
      <c r="G89" s="119"/>
      <c r="H89" s="119"/>
      <c r="I89" s="119"/>
      <c r="J89" s="119"/>
      <c r="K89" s="119"/>
      <c r="L89" s="119"/>
      <c r="M89" s="119"/>
      <c r="N89" s="119"/>
      <c r="O89" s="119"/>
      <c r="P89" s="119"/>
      <c r="Q89" s="80"/>
      <c r="R89" s="80"/>
      <c r="S89" s="80"/>
      <c r="T89" s="80"/>
      <c r="U89" s="80"/>
      <c r="V89" s="80"/>
      <c r="W89" s="80"/>
      <c r="X89" s="80"/>
      <c r="Y89" s="80"/>
      <c r="Z89" s="80"/>
      <c r="AA89" s="80"/>
      <c r="AB89" s="80"/>
      <c r="AC89" s="80"/>
      <c r="AD89" s="80"/>
      <c r="AE89" s="80"/>
      <c r="AF89" s="80"/>
      <c r="AG89" s="80"/>
      <c r="AH89" s="80"/>
      <c r="AI89" s="80"/>
    </row>
    <row r="90" spans="1:35" s="6" customFormat="1" outlineLevel="1">
      <c r="A90" s="119"/>
      <c r="B90" s="377" t="str">
        <f>'Energy and water utilities'!A55</f>
        <v>Community-wide aggregated data</v>
      </c>
      <c r="C90" s="378">
        <v>0.5</v>
      </c>
      <c r="D90" s="378" t="str">
        <f>IF(E90="","",0.5)</f>
        <v/>
      </c>
      <c r="E90" s="321" t="str">
        <f>IF('Energy and water utilities'!E55="","",SUM('Energy and water utilities'!E55))</f>
        <v/>
      </c>
      <c r="F90" s="80"/>
      <c r="G90" s="119"/>
      <c r="H90" s="119"/>
      <c r="I90" s="119"/>
      <c r="J90" s="119"/>
      <c r="K90" s="119"/>
      <c r="L90" s="119"/>
      <c r="M90" s="119"/>
      <c r="N90" s="119"/>
      <c r="O90" s="119"/>
      <c r="P90" s="119"/>
      <c r="Q90" s="80"/>
      <c r="R90" s="80"/>
      <c r="S90" s="80"/>
      <c r="T90" s="80"/>
      <c r="U90" s="80"/>
      <c r="V90" s="80"/>
      <c r="W90" s="80"/>
      <c r="X90" s="80"/>
      <c r="Y90" s="80"/>
      <c r="Z90" s="80"/>
      <c r="AA90" s="80"/>
      <c r="AB90" s="80"/>
      <c r="AC90" s="80"/>
      <c r="AD90" s="80"/>
      <c r="AE90" s="80"/>
      <c r="AF90" s="80"/>
      <c r="AG90" s="80"/>
      <c r="AH90" s="80"/>
      <c r="AI90" s="80"/>
    </row>
    <row r="91" spans="1:35" s="6" customFormat="1">
      <c r="A91" s="119"/>
      <c r="B91" s="376" t="s">
        <v>462</v>
      </c>
      <c r="C91" s="179">
        <v>5</v>
      </c>
      <c r="D91" s="179" t="str">
        <f>IF(AND(D92="",D93="",D94=""),"",3)</f>
        <v/>
      </c>
      <c r="E91" s="320">
        <f>SUM(E92:E94)</f>
        <v>0</v>
      </c>
      <c r="F91" s="80"/>
      <c r="G91" s="119"/>
      <c r="H91" s="119"/>
      <c r="I91" s="119"/>
      <c r="J91" s="119"/>
      <c r="K91" s="119"/>
      <c r="L91" s="119"/>
      <c r="M91" s="119"/>
      <c r="N91" s="119"/>
      <c r="O91" s="119"/>
      <c r="P91" s="119"/>
      <c r="Q91" s="80"/>
      <c r="R91" s="80"/>
      <c r="S91" s="80"/>
      <c r="T91" s="80"/>
      <c r="U91" s="80"/>
      <c r="V91" s="80"/>
      <c r="W91" s="80"/>
      <c r="X91" s="80"/>
      <c r="Y91" s="80"/>
      <c r="Z91" s="80"/>
      <c r="AA91" s="80"/>
      <c r="AB91" s="80"/>
      <c r="AC91" s="80"/>
      <c r="AD91" s="80"/>
      <c r="AE91" s="80"/>
      <c r="AF91" s="80"/>
      <c r="AG91" s="80"/>
      <c r="AH91" s="80"/>
      <c r="AI91" s="80"/>
    </row>
    <row r="92" spans="1:35" s="6" customFormat="1" outlineLevel="1">
      <c r="A92" s="119"/>
      <c r="B92" s="377" t="str">
        <f>'Energy and water utilities'!A59</f>
        <v>Green infrastructure and stormwater plan</v>
      </c>
      <c r="C92" s="378">
        <v>1</v>
      </c>
      <c r="D92" s="378" t="str">
        <f>IF(E92="","",0)</f>
        <v/>
      </c>
      <c r="E92" s="321" t="str">
        <f>IF('Energy and water utilities'!E59="","",SUM('Energy and water utilities'!E59))</f>
        <v/>
      </c>
      <c r="F92" s="80"/>
      <c r="G92" s="119"/>
      <c r="H92" s="119"/>
      <c r="I92" s="119"/>
      <c r="J92" s="119"/>
      <c r="K92" s="119"/>
      <c r="L92" s="119"/>
      <c r="M92" s="119"/>
      <c r="N92" s="119"/>
      <c r="O92" s="119"/>
      <c r="P92" s="119"/>
      <c r="Q92" s="80"/>
      <c r="R92" s="80"/>
      <c r="S92" s="80"/>
      <c r="T92" s="80"/>
      <c r="U92" s="80"/>
      <c r="V92" s="80"/>
      <c r="W92" s="80"/>
      <c r="X92" s="80"/>
      <c r="Y92" s="80"/>
      <c r="Z92" s="80"/>
      <c r="AA92" s="80"/>
      <c r="AB92" s="80"/>
      <c r="AC92" s="80"/>
      <c r="AD92" s="80"/>
      <c r="AE92" s="80"/>
      <c r="AF92" s="80"/>
      <c r="AG92" s="80"/>
      <c r="AH92" s="80"/>
      <c r="AI92" s="80"/>
    </row>
    <row r="93" spans="1:35" s="6" customFormat="1" outlineLevel="1">
      <c r="A93" s="119"/>
      <c r="B93" s="377" t="str">
        <f>'Energy and water utilities'!$A$60</f>
        <v>Joint water-energy programs</v>
      </c>
      <c r="C93" s="378">
        <v>2</v>
      </c>
      <c r="D93" s="378" t="str">
        <f>IF(E93="","",1.5)</f>
        <v/>
      </c>
      <c r="E93" s="321" t="str">
        <f>IF(AND('Energy and water utilities'!$E$60="",'Energy and water utilities'!$E$61=""),"",SUM('Energy and water utilities'!$E$60:$E$61))</f>
        <v/>
      </c>
      <c r="F93" s="80"/>
      <c r="G93" s="119"/>
      <c r="H93" s="119"/>
      <c r="I93" s="119"/>
      <c r="J93" s="119"/>
      <c r="K93" s="119"/>
      <c r="L93" s="119"/>
      <c r="M93" s="119"/>
      <c r="N93" s="119"/>
      <c r="O93" s="119"/>
      <c r="P93" s="119"/>
      <c r="Q93" s="80"/>
      <c r="R93" s="80"/>
      <c r="S93" s="80"/>
      <c r="T93" s="80"/>
      <c r="U93" s="80"/>
      <c r="V93" s="80"/>
      <c r="W93" s="80"/>
      <c r="X93" s="80"/>
      <c r="Y93" s="80"/>
      <c r="Z93" s="80"/>
      <c r="AA93" s="80"/>
      <c r="AB93" s="80"/>
      <c r="AC93" s="80"/>
      <c r="AD93" s="80"/>
      <c r="AE93" s="80"/>
      <c r="AF93" s="80"/>
      <c r="AG93" s="80"/>
      <c r="AH93" s="80"/>
      <c r="AI93" s="80"/>
    </row>
    <row r="94" spans="1:35" s="6" customFormat="1" outlineLevel="1">
      <c r="A94" s="119"/>
      <c r="B94" s="377" t="str">
        <f>'Energy and water utilities'!A62</f>
        <v>Water utility energy efficiency programs</v>
      </c>
      <c r="C94" s="378">
        <v>2</v>
      </c>
      <c r="D94" s="378" t="str">
        <f>IF(E94="","",1.5)</f>
        <v/>
      </c>
      <c r="E94" s="321" t="str">
        <f>IF(AND('Energy and water utilities'!E62="",'Energy and water utilities'!E63=""),"",SUM('Energy and water utilities'!E62:E63))</f>
        <v/>
      </c>
      <c r="F94" s="80"/>
      <c r="G94" s="119"/>
      <c r="H94" s="119"/>
      <c r="I94" s="119"/>
      <c r="J94" s="119"/>
      <c r="K94" s="119"/>
      <c r="L94" s="119"/>
      <c r="M94" s="119"/>
      <c r="N94" s="119"/>
      <c r="O94" s="119"/>
      <c r="P94" s="119"/>
      <c r="Q94" s="80"/>
      <c r="R94" s="80"/>
      <c r="S94" s="80"/>
      <c r="T94" s="80"/>
      <c r="U94" s="80"/>
      <c r="V94" s="80"/>
      <c r="W94" s="80"/>
      <c r="X94" s="80"/>
      <c r="Y94" s="80"/>
      <c r="Z94" s="80"/>
      <c r="AA94" s="80"/>
      <c r="AB94" s="80"/>
      <c r="AC94" s="80"/>
      <c r="AD94" s="80"/>
      <c r="AE94" s="80"/>
      <c r="AF94" s="80"/>
      <c r="AG94" s="80"/>
      <c r="AH94" s="80"/>
      <c r="AI94" s="80"/>
    </row>
    <row r="95" spans="1:35" s="6" customFormat="1">
      <c r="A95" s="119"/>
      <c r="B95" s="379" t="s">
        <v>512</v>
      </c>
      <c r="C95" s="380">
        <v>30</v>
      </c>
      <c r="D95" s="380" t="str">
        <f>IF(AND(D96="",D98="",D102="",D106="",D109="",D113="",D116=""),"",10.5)</f>
        <v/>
      </c>
      <c r="E95" s="319">
        <f>E96+E98+E102+E106+E109+E113+E116</f>
        <v>0</v>
      </c>
      <c r="F95" s="80"/>
      <c r="G95" s="119"/>
      <c r="H95" s="119"/>
      <c r="I95" s="119"/>
      <c r="J95" s="119"/>
      <c r="K95" s="119"/>
      <c r="L95" s="119"/>
      <c r="M95" s="119"/>
      <c r="N95" s="119"/>
      <c r="O95" s="119"/>
      <c r="P95" s="119"/>
      <c r="Q95" s="80"/>
      <c r="R95" s="80"/>
      <c r="S95" s="80"/>
      <c r="T95" s="80"/>
      <c r="U95" s="80"/>
      <c r="V95" s="80"/>
      <c r="W95" s="80"/>
      <c r="X95" s="80"/>
      <c r="Y95" s="80"/>
      <c r="Z95" s="80"/>
      <c r="AA95" s="80"/>
      <c r="AB95" s="80"/>
      <c r="AC95" s="80"/>
      <c r="AD95" s="80"/>
      <c r="AE95" s="80"/>
      <c r="AF95" s="80"/>
      <c r="AG95" s="80"/>
      <c r="AH95" s="80"/>
      <c r="AI95" s="80"/>
    </row>
    <row r="96" spans="1:35" s="6" customFormat="1">
      <c r="A96" s="119"/>
      <c r="B96" s="376" t="s">
        <v>582</v>
      </c>
      <c r="C96" s="179">
        <v>4</v>
      </c>
      <c r="D96" s="179" t="str">
        <f>IF(D97="","",2)</f>
        <v/>
      </c>
      <c r="E96" s="320">
        <f>SUM(E97)</f>
        <v>0</v>
      </c>
      <c r="F96" s="80"/>
      <c r="G96" s="119"/>
      <c r="H96" s="119"/>
      <c r="I96" s="119"/>
      <c r="J96" s="119"/>
      <c r="K96" s="119"/>
      <c r="L96" s="119"/>
      <c r="M96" s="119"/>
      <c r="N96" s="119"/>
      <c r="O96" s="119"/>
      <c r="P96" s="119"/>
      <c r="Q96" s="80"/>
      <c r="R96" s="80"/>
      <c r="S96" s="80"/>
      <c r="T96" s="80"/>
      <c r="U96" s="80"/>
      <c r="V96" s="80"/>
      <c r="W96" s="80"/>
      <c r="X96" s="80"/>
      <c r="Y96" s="80"/>
      <c r="Z96" s="80"/>
      <c r="AA96" s="80"/>
      <c r="AB96" s="80"/>
      <c r="AC96" s="80"/>
      <c r="AD96" s="80"/>
      <c r="AE96" s="80"/>
      <c r="AF96" s="80"/>
      <c r="AG96" s="80"/>
      <c r="AH96" s="80"/>
      <c r="AI96" s="80"/>
    </row>
    <row r="97" spans="1:35" s="6" customFormat="1">
      <c r="A97" s="119"/>
      <c r="B97" s="377" t="s">
        <v>583</v>
      </c>
      <c r="C97" s="378">
        <v>4</v>
      </c>
      <c r="D97" s="378" t="str">
        <f>IF(E97="","",2)</f>
        <v/>
      </c>
      <c r="E97" s="321" t="str">
        <f>IF(AND('Transportation policies'!E23="",'Transportation policies'!E24="",'Transportation policies'!E25=""),"",SUM('Transportation policies'!E23:E25))</f>
        <v/>
      </c>
      <c r="F97" s="80"/>
      <c r="G97" s="119"/>
      <c r="H97" s="119"/>
      <c r="I97" s="119"/>
      <c r="J97" s="119"/>
      <c r="K97" s="119"/>
      <c r="L97" s="119"/>
      <c r="M97" s="119"/>
      <c r="N97" s="119"/>
      <c r="O97" s="119"/>
      <c r="P97" s="119"/>
      <c r="Q97" s="80"/>
      <c r="R97" s="80"/>
      <c r="S97" s="80"/>
      <c r="T97" s="80"/>
      <c r="U97" s="80"/>
      <c r="V97" s="80"/>
      <c r="W97" s="80"/>
      <c r="X97" s="80"/>
      <c r="Y97" s="80"/>
      <c r="Z97" s="80"/>
      <c r="AA97" s="80"/>
      <c r="AB97" s="80"/>
      <c r="AC97" s="80"/>
      <c r="AD97" s="80"/>
      <c r="AE97" s="80"/>
      <c r="AF97" s="80"/>
      <c r="AG97" s="80"/>
      <c r="AH97" s="80"/>
      <c r="AI97" s="80"/>
    </row>
    <row r="98" spans="1:35" s="6" customFormat="1">
      <c r="A98" s="119"/>
      <c r="B98" s="376" t="str">
        <f>'Transportation policies'!A27</f>
        <v>Location efficiency</v>
      </c>
      <c r="C98" s="179">
        <v>6</v>
      </c>
      <c r="D98" s="179" t="str">
        <f>IF(AND(D99="",D100="",D101=""),"",2.5)</f>
        <v/>
      </c>
      <c r="E98" s="320">
        <f>SUM(E99:E101)</f>
        <v>0</v>
      </c>
      <c r="F98" s="80"/>
      <c r="G98" s="119"/>
      <c r="H98" s="119"/>
      <c r="I98" s="119"/>
      <c r="J98" s="119"/>
      <c r="K98" s="119"/>
      <c r="L98" s="119"/>
      <c r="M98" s="119"/>
      <c r="N98" s="119"/>
      <c r="O98" s="119"/>
      <c r="P98" s="119"/>
      <c r="Q98" s="80"/>
      <c r="R98" s="80"/>
      <c r="S98" s="80"/>
      <c r="T98" s="80"/>
      <c r="U98" s="80"/>
      <c r="V98" s="80"/>
      <c r="W98" s="80"/>
      <c r="X98" s="80"/>
      <c r="Y98" s="80"/>
      <c r="Z98" s="80"/>
      <c r="AA98" s="80"/>
      <c r="AB98" s="80"/>
      <c r="AC98" s="80"/>
      <c r="AD98" s="80"/>
      <c r="AE98" s="80"/>
      <c r="AF98" s="80"/>
      <c r="AG98" s="80"/>
      <c r="AH98" s="80"/>
      <c r="AI98" s="80"/>
    </row>
    <row r="99" spans="1:35" s="6" customFormat="1" outlineLevel="1">
      <c r="A99" s="119"/>
      <c r="B99" s="377" t="str">
        <f>'Transportation policies'!A29</f>
        <v>Parking requirements</v>
      </c>
      <c r="C99" s="378">
        <v>2</v>
      </c>
      <c r="D99" s="378" t="str">
        <f>IF(E99="","",1)</f>
        <v/>
      </c>
      <c r="E99" s="321" t="str">
        <f>IF('Transportation policies'!E29="","",SUM('Transportation policies'!E29))</f>
        <v/>
      </c>
      <c r="F99" s="80"/>
      <c r="G99" s="119"/>
      <c r="H99" s="119"/>
      <c r="I99" s="119"/>
      <c r="J99" s="119"/>
      <c r="K99" s="119"/>
      <c r="L99" s="119"/>
      <c r="M99" s="119"/>
      <c r="N99" s="119"/>
      <c r="O99" s="119"/>
      <c r="P99" s="119"/>
      <c r="Q99" s="80"/>
      <c r="R99" s="80"/>
      <c r="S99" s="80"/>
      <c r="T99" s="80"/>
      <c r="U99" s="80"/>
      <c r="V99" s="80"/>
      <c r="W99" s="80"/>
      <c r="X99" s="80"/>
      <c r="Y99" s="80"/>
      <c r="Z99" s="80"/>
      <c r="AA99" s="80"/>
      <c r="AB99" s="80"/>
      <c r="AC99" s="80"/>
      <c r="AD99" s="80"/>
      <c r="AE99" s="80"/>
      <c r="AF99" s="80"/>
      <c r="AG99" s="80"/>
      <c r="AH99" s="80"/>
      <c r="AI99" s="80"/>
    </row>
    <row r="100" spans="1:35" s="6" customFormat="1" outlineLevel="1">
      <c r="A100" s="119"/>
      <c r="B100" s="377" t="str">
        <f>'Transportation policies'!A30</f>
        <v>Location-efficient zoning codes</v>
      </c>
      <c r="C100" s="378">
        <v>2</v>
      </c>
      <c r="D100" s="378" t="str">
        <f>IF(E100="","",1)</f>
        <v/>
      </c>
      <c r="E100" s="321" t="str">
        <f>IF('Transportation policies'!E30="","",SUM('Transportation policies'!E30))</f>
        <v/>
      </c>
      <c r="F100" s="80"/>
      <c r="G100" s="119"/>
      <c r="H100" s="119"/>
      <c r="I100" s="119"/>
      <c r="J100" s="119"/>
      <c r="K100" s="119"/>
      <c r="L100" s="119"/>
      <c r="M100" s="119"/>
      <c r="N100" s="119"/>
      <c r="O100" s="119"/>
      <c r="P100" s="119"/>
      <c r="Q100" s="80"/>
      <c r="R100" s="80"/>
      <c r="S100" s="80"/>
      <c r="T100" s="80"/>
      <c r="U100" s="80"/>
      <c r="V100" s="80"/>
      <c r="W100" s="80"/>
      <c r="X100" s="80"/>
      <c r="Y100" s="80"/>
      <c r="Z100" s="80"/>
      <c r="AA100" s="80"/>
      <c r="AB100" s="80"/>
      <c r="AC100" s="80"/>
      <c r="AD100" s="80"/>
      <c r="AE100" s="80"/>
      <c r="AF100" s="80"/>
      <c r="AG100" s="80"/>
      <c r="AH100" s="80"/>
      <c r="AI100" s="80"/>
    </row>
    <row r="101" spans="1:35" s="6" customFormat="1" outlineLevel="1">
      <c r="A101" s="119"/>
      <c r="B101" s="377" t="str">
        <f>'Transportation policies'!A31</f>
        <v>Location efficiency incenctives and information</v>
      </c>
      <c r="C101" s="378">
        <v>2</v>
      </c>
      <c r="D101" s="378" t="str">
        <f>IF(E101="","",0)</f>
        <v/>
      </c>
      <c r="E101" s="321" t="str">
        <f>IF('Transportation policies'!E31="","",'Transportation policies'!E31)</f>
        <v/>
      </c>
      <c r="F101" s="80"/>
      <c r="G101" s="119"/>
      <c r="H101" s="119"/>
      <c r="I101" s="119"/>
      <c r="J101" s="119"/>
      <c r="K101" s="119"/>
      <c r="L101" s="119"/>
      <c r="M101" s="119"/>
      <c r="N101" s="119"/>
      <c r="O101" s="119"/>
      <c r="P101" s="119"/>
      <c r="Q101" s="80"/>
      <c r="R101" s="80"/>
      <c r="S101" s="80"/>
      <c r="T101" s="80"/>
      <c r="U101" s="80"/>
      <c r="V101" s="80"/>
      <c r="W101" s="80"/>
      <c r="X101" s="80"/>
      <c r="Y101" s="80"/>
      <c r="Z101" s="80"/>
      <c r="AA101" s="80"/>
      <c r="AB101" s="80"/>
      <c r="AC101" s="80"/>
      <c r="AD101" s="80"/>
      <c r="AE101" s="80"/>
      <c r="AF101" s="80"/>
      <c r="AG101" s="80"/>
      <c r="AH101" s="80"/>
      <c r="AI101" s="80"/>
    </row>
    <row r="102" spans="1:35" s="6" customFormat="1">
      <c r="A102" s="119"/>
      <c r="B102" s="376" t="str">
        <f>'Transportation policies'!A33</f>
        <v>Mode shift</v>
      </c>
      <c r="C102" s="179">
        <v>6</v>
      </c>
      <c r="D102" s="179" t="str">
        <f>IF(AND(D103="",D104="",D105=""),"",3)</f>
        <v/>
      </c>
      <c r="E102" s="320">
        <f>SUM(E103:E105)</f>
        <v>0</v>
      </c>
      <c r="F102" s="80"/>
      <c r="G102" s="119"/>
      <c r="H102" s="119"/>
      <c r="I102" s="119"/>
      <c r="J102" s="119"/>
      <c r="K102" s="119"/>
      <c r="L102" s="119"/>
      <c r="M102" s="119"/>
      <c r="N102" s="119"/>
      <c r="O102" s="119"/>
      <c r="P102" s="119"/>
      <c r="Q102" s="80"/>
      <c r="R102" s="80"/>
      <c r="S102" s="80"/>
      <c r="T102" s="80"/>
      <c r="U102" s="80"/>
      <c r="V102" s="80"/>
      <c r="W102" s="80"/>
      <c r="X102" s="80"/>
      <c r="Y102" s="80"/>
      <c r="Z102" s="80"/>
      <c r="AA102" s="80"/>
      <c r="AB102" s="80"/>
      <c r="AC102" s="80"/>
      <c r="AD102" s="80"/>
      <c r="AE102" s="80"/>
      <c r="AF102" s="80"/>
      <c r="AG102" s="80"/>
      <c r="AH102" s="80"/>
      <c r="AI102" s="80"/>
    </row>
    <row r="103" spans="1:35" s="6" customFormat="1" outlineLevel="1">
      <c r="A103" s="119"/>
      <c r="B103" s="377" t="s">
        <v>508</v>
      </c>
      <c r="C103" s="378">
        <v>2</v>
      </c>
      <c r="D103" s="378" t="str">
        <f>IF(E103="","",2)</f>
        <v/>
      </c>
      <c r="E103" s="321" t="str">
        <f>IF(AND('Transportation policies'!E35="",'Transportation policies'!E36=""),"",SUM('Transportation policies'!E35:E36))</f>
        <v/>
      </c>
      <c r="F103" s="80"/>
      <c r="G103" s="119"/>
      <c r="H103" s="119"/>
      <c r="I103" s="119"/>
      <c r="J103" s="119"/>
      <c r="K103" s="119"/>
      <c r="L103" s="119"/>
      <c r="M103" s="119"/>
      <c r="N103" s="119"/>
      <c r="O103" s="119"/>
      <c r="P103" s="119"/>
      <c r="Q103" s="80"/>
      <c r="R103" s="80"/>
      <c r="S103" s="80"/>
      <c r="T103" s="80"/>
      <c r="U103" s="80"/>
      <c r="V103" s="80"/>
      <c r="W103" s="80"/>
      <c r="X103" s="80"/>
      <c r="Y103" s="80"/>
      <c r="Z103" s="80"/>
      <c r="AA103" s="80"/>
      <c r="AB103" s="80"/>
      <c r="AC103" s="80"/>
      <c r="AD103" s="80"/>
      <c r="AE103" s="80"/>
      <c r="AF103" s="80"/>
      <c r="AG103" s="80"/>
      <c r="AH103" s="80"/>
      <c r="AI103" s="80"/>
    </row>
    <row r="104" spans="1:35" s="6" customFormat="1" outlineLevel="1">
      <c r="A104" s="119"/>
      <c r="B104" s="377" t="s">
        <v>584</v>
      </c>
      <c r="C104" s="378">
        <v>2</v>
      </c>
      <c r="D104" s="378" t="str">
        <f>IF(E104="","",0)</f>
        <v/>
      </c>
      <c r="E104" s="321" t="str">
        <f>IF(AND('Transportation policies'!E37=""),"",SUM('Transportation policies'!E37:E37))</f>
        <v/>
      </c>
      <c r="F104" s="80"/>
      <c r="G104" s="119"/>
      <c r="H104" s="119"/>
      <c r="I104" s="119"/>
      <c r="J104" s="119"/>
      <c r="K104" s="119"/>
      <c r="L104" s="119"/>
      <c r="M104" s="119"/>
      <c r="N104" s="119"/>
      <c r="O104" s="119"/>
      <c r="P104" s="119"/>
      <c r="Q104" s="80"/>
      <c r="R104" s="80"/>
      <c r="S104" s="80"/>
      <c r="T104" s="80"/>
      <c r="U104" s="80"/>
      <c r="V104" s="80"/>
      <c r="W104" s="80"/>
      <c r="X104" s="80"/>
      <c r="Y104" s="80"/>
      <c r="Z104" s="80"/>
      <c r="AA104" s="80"/>
      <c r="AB104" s="80"/>
      <c r="AC104" s="80"/>
      <c r="AD104" s="80"/>
      <c r="AE104" s="80"/>
      <c r="AF104" s="80"/>
      <c r="AG104" s="80"/>
      <c r="AH104" s="80"/>
      <c r="AI104" s="80"/>
    </row>
    <row r="105" spans="1:35" s="6" customFormat="1" outlineLevel="1">
      <c r="A105" s="119"/>
      <c r="B105" s="377" t="str">
        <f>'Transportation policies'!A38</f>
        <v>Complete streets</v>
      </c>
      <c r="C105" s="378">
        <v>2</v>
      </c>
      <c r="D105" s="378" t="str">
        <f>IF(E105="","",0.5)</f>
        <v/>
      </c>
      <c r="E105" s="321" t="str">
        <f>IF('Transportation policies'!E38="","",SUM('Transportation policies'!E38))</f>
        <v/>
      </c>
      <c r="F105" s="80"/>
      <c r="G105" s="119"/>
      <c r="H105" s="119"/>
      <c r="I105" s="119"/>
      <c r="J105" s="119"/>
      <c r="K105" s="119"/>
      <c r="L105" s="119"/>
      <c r="M105" s="119"/>
      <c r="N105" s="119"/>
      <c r="O105" s="119"/>
      <c r="P105" s="119"/>
      <c r="Q105" s="80"/>
      <c r="R105" s="80"/>
      <c r="S105" s="80"/>
      <c r="T105" s="80"/>
      <c r="U105" s="80"/>
      <c r="V105" s="80"/>
      <c r="W105" s="80"/>
      <c r="X105" s="80"/>
      <c r="Y105" s="80"/>
      <c r="Z105" s="80"/>
      <c r="AA105" s="80"/>
      <c r="AB105" s="80"/>
      <c r="AC105" s="80"/>
      <c r="AD105" s="80"/>
      <c r="AE105" s="80"/>
      <c r="AF105" s="80"/>
      <c r="AG105" s="80"/>
      <c r="AH105" s="80"/>
      <c r="AI105" s="80"/>
    </row>
    <row r="106" spans="1:35" s="6" customFormat="1" outlineLevel="1">
      <c r="A106" s="119"/>
      <c r="B106" s="376" t="str">
        <f>'Transportation policies'!A40</f>
        <v>Transit</v>
      </c>
      <c r="C106" s="179">
        <v>5</v>
      </c>
      <c r="D106" s="179" t="str">
        <f>IF(AND(D107="",D108=""),"",2)</f>
        <v/>
      </c>
      <c r="E106" s="320">
        <f>SUM(E107:E108)</f>
        <v>0</v>
      </c>
      <c r="F106" s="80"/>
      <c r="G106" s="119"/>
      <c r="H106" s="119"/>
      <c r="I106" s="119"/>
      <c r="J106" s="119"/>
      <c r="K106" s="119"/>
      <c r="L106" s="119"/>
      <c r="M106" s="119"/>
      <c r="N106" s="119"/>
      <c r="O106" s="119"/>
      <c r="P106" s="119"/>
      <c r="Q106" s="80"/>
      <c r="R106" s="80"/>
      <c r="S106" s="80"/>
      <c r="T106" s="80"/>
      <c r="U106" s="80"/>
      <c r="V106" s="80"/>
      <c r="W106" s="80"/>
      <c r="X106" s="80"/>
      <c r="Y106" s="80"/>
      <c r="Z106" s="80"/>
      <c r="AA106" s="80"/>
      <c r="AB106" s="80"/>
      <c r="AC106" s="80"/>
      <c r="AD106" s="80"/>
      <c r="AE106" s="80"/>
      <c r="AF106" s="80"/>
      <c r="AG106" s="80"/>
      <c r="AH106" s="80"/>
      <c r="AI106" s="80"/>
    </row>
    <row r="107" spans="1:35" s="6" customFormat="1" outlineLevel="1">
      <c r="A107" s="119"/>
      <c r="B107" s="377" t="s">
        <v>509</v>
      </c>
      <c r="C107" s="378">
        <v>3</v>
      </c>
      <c r="D107" s="378" t="str">
        <f>IF(E107="","",1)</f>
        <v/>
      </c>
      <c r="E107" s="321" t="str">
        <f>IF('Transportation policies'!E42="","",SUM('Transportation policies'!E42))</f>
        <v/>
      </c>
      <c r="F107" s="80"/>
      <c r="G107" s="119"/>
      <c r="H107" s="119"/>
      <c r="I107" s="119"/>
      <c r="J107" s="119"/>
      <c r="K107" s="119"/>
      <c r="L107" s="119"/>
      <c r="M107" s="119"/>
      <c r="N107" s="119"/>
      <c r="O107" s="119"/>
      <c r="P107" s="119"/>
      <c r="Q107" s="80"/>
      <c r="R107" s="80"/>
      <c r="S107" s="80"/>
      <c r="T107" s="80"/>
      <c r="U107" s="80"/>
      <c r="V107" s="80"/>
      <c r="W107" s="80"/>
      <c r="X107" s="80"/>
      <c r="Y107" s="80"/>
      <c r="Z107" s="80"/>
      <c r="AA107" s="80"/>
      <c r="AB107" s="80"/>
      <c r="AC107" s="80"/>
      <c r="AD107" s="80"/>
      <c r="AE107" s="80"/>
      <c r="AF107" s="80"/>
      <c r="AG107" s="80"/>
      <c r="AH107" s="80"/>
      <c r="AI107" s="80"/>
    </row>
    <row r="108" spans="1:35" s="6" customFormat="1" outlineLevel="1">
      <c r="A108" s="119"/>
      <c r="B108" s="377" t="str">
        <f>'Transportation policies'!A43</f>
        <v>Access to transit services</v>
      </c>
      <c r="C108" s="378">
        <v>2</v>
      </c>
      <c r="D108" s="378" t="str">
        <f>IF(E108="","",0.5)</f>
        <v/>
      </c>
      <c r="E108" s="321" t="str">
        <f>IF('Transportation policies'!E43="","",SUM('Transportation policies'!E43))</f>
        <v/>
      </c>
      <c r="F108" s="80"/>
      <c r="G108" s="119"/>
      <c r="H108" s="119"/>
      <c r="I108" s="119"/>
      <c r="J108" s="119"/>
      <c r="K108" s="119"/>
      <c r="L108" s="119"/>
      <c r="M108" s="119"/>
      <c r="N108" s="119"/>
      <c r="O108" s="119"/>
      <c r="P108" s="119"/>
      <c r="Q108" s="80"/>
      <c r="R108" s="80"/>
      <c r="S108" s="80"/>
      <c r="T108" s="80"/>
      <c r="U108" s="80"/>
      <c r="V108" s="80"/>
      <c r="W108" s="80"/>
      <c r="X108" s="80"/>
      <c r="Y108" s="80"/>
      <c r="Z108" s="80"/>
      <c r="AA108" s="80"/>
      <c r="AB108" s="80"/>
      <c r="AC108" s="80"/>
      <c r="AD108" s="80"/>
      <c r="AE108" s="80"/>
      <c r="AF108" s="80"/>
      <c r="AG108" s="80"/>
      <c r="AH108" s="80"/>
      <c r="AI108" s="80"/>
    </row>
    <row r="109" spans="1:35" outlineLevel="1">
      <c r="B109" s="376" t="str">
        <f>'Transportation policies'!A45</f>
        <v>Efficient vehicles</v>
      </c>
      <c r="C109" s="179">
        <v>3</v>
      </c>
      <c r="D109" s="179" t="str">
        <f>IF(AND(D110="",D111="",D112=""),"",1)</f>
        <v/>
      </c>
      <c r="E109" s="320">
        <f>SUM(E110:E112)</f>
        <v>0</v>
      </c>
      <c r="F109" s="80"/>
      <c r="G109" s="80"/>
      <c r="Q109" s="80"/>
      <c r="R109" s="80"/>
      <c r="S109" s="80"/>
      <c r="T109" s="80"/>
      <c r="U109" s="80"/>
      <c r="V109" s="80"/>
      <c r="W109" s="80"/>
      <c r="X109" s="80"/>
      <c r="Y109" s="80"/>
      <c r="Z109" s="80"/>
      <c r="AA109" s="80"/>
      <c r="AB109" s="80"/>
      <c r="AC109" s="80"/>
      <c r="AD109" s="80"/>
      <c r="AE109" s="80"/>
      <c r="AF109" s="80"/>
      <c r="AG109" s="80"/>
      <c r="AH109" s="80"/>
      <c r="AI109" s="80"/>
    </row>
    <row r="110" spans="1:35" s="6" customFormat="1" outlineLevel="1">
      <c r="A110" s="119"/>
      <c r="B110" s="377" t="str">
        <f>'Transportation policies'!A47</f>
        <v xml:space="preserve">Vehicle purchase incentives </v>
      </c>
      <c r="C110" s="378">
        <v>1</v>
      </c>
      <c r="D110" s="378" t="str">
        <f>IF(E110="","",0)</f>
        <v/>
      </c>
      <c r="E110" s="321" t="str">
        <f>IF('Transportation policies'!E47="","",SUM('Transportation policies'!E47))</f>
        <v/>
      </c>
      <c r="F110" s="80"/>
      <c r="G110" s="119"/>
      <c r="H110" s="119"/>
      <c r="I110" s="119"/>
      <c r="J110" s="119"/>
      <c r="K110" s="119"/>
      <c r="L110" s="119"/>
      <c r="M110" s="119"/>
      <c r="N110" s="119"/>
      <c r="O110" s="119"/>
      <c r="P110" s="119"/>
      <c r="Q110" s="80"/>
      <c r="R110" s="80"/>
      <c r="S110" s="80"/>
      <c r="T110" s="80"/>
      <c r="U110" s="80"/>
      <c r="V110" s="80"/>
      <c r="W110" s="80"/>
      <c r="X110" s="80"/>
      <c r="Y110" s="80"/>
      <c r="Z110" s="80"/>
      <c r="AA110" s="80"/>
      <c r="AB110" s="80"/>
      <c r="AC110" s="80"/>
      <c r="AD110" s="80"/>
      <c r="AE110" s="80"/>
      <c r="AF110" s="80"/>
      <c r="AG110" s="80"/>
      <c r="AH110" s="80"/>
      <c r="AI110" s="80"/>
    </row>
    <row r="111" spans="1:35" s="6" customFormat="1" outlineLevel="1">
      <c r="A111" s="119"/>
      <c r="B111" s="377" t="str">
        <f>'Transportation policies'!A48</f>
        <v>Electric vehicle charging station infrastructure</v>
      </c>
      <c r="C111" s="378">
        <v>1</v>
      </c>
      <c r="D111" s="378" t="str">
        <f>IF(E111="","",0)</f>
        <v/>
      </c>
      <c r="E111" s="321" t="str">
        <f>IF('Transportation policies'!E48="","",SUM('Transportation policies'!E48))</f>
        <v/>
      </c>
      <c r="F111" s="80"/>
      <c r="G111" s="119"/>
      <c r="H111" s="119"/>
      <c r="I111" s="119"/>
      <c r="J111" s="119"/>
      <c r="K111" s="119"/>
      <c r="L111" s="119"/>
      <c r="M111" s="119"/>
      <c r="N111" s="119"/>
      <c r="O111" s="119"/>
      <c r="P111" s="119"/>
      <c r="Q111" s="80"/>
      <c r="R111" s="80"/>
      <c r="S111" s="80"/>
      <c r="T111" s="80"/>
      <c r="U111" s="80"/>
      <c r="V111" s="80"/>
      <c r="W111" s="80"/>
      <c r="X111" s="80"/>
      <c r="Y111" s="80"/>
      <c r="Z111" s="80"/>
      <c r="AA111" s="80"/>
      <c r="AB111" s="80"/>
      <c r="AC111" s="80"/>
      <c r="AD111" s="80"/>
      <c r="AE111" s="80"/>
      <c r="AF111" s="80"/>
      <c r="AG111" s="80"/>
      <c r="AH111" s="80"/>
      <c r="AI111" s="80"/>
    </row>
    <row r="112" spans="1:35" s="6" customFormat="1" outlineLevel="1">
      <c r="A112" s="119"/>
      <c r="B112" s="384" t="str">
        <f>'Transportation policies'!A49</f>
        <v xml:space="preserve">Vehicle charging infrastructure incentives </v>
      </c>
      <c r="C112" s="385">
        <v>1</v>
      </c>
      <c r="D112" s="385" t="str">
        <f>IF(E112="","",1)</f>
        <v/>
      </c>
      <c r="E112" s="321" t="str">
        <f>IF('Transportation policies'!E49="","",SUM('Transportation policies'!E49))</f>
        <v/>
      </c>
      <c r="F112" s="80"/>
      <c r="G112" s="119"/>
      <c r="H112" s="119"/>
      <c r="I112" s="119"/>
      <c r="J112" s="119"/>
      <c r="K112" s="119"/>
      <c r="L112" s="119"/>
      <c r="M112" s="119"/>
      <c r="N112" s="119"/>
      <c r="O112" s="119"/>
      <c r="P112" s="119"/>
      <c r="Q112" s="80"/>
      <c r="R112" s="80"/>
      <c r="S112" s="80"/>
      <c r="T112" s="80"/>
      <c r="U112" s="80"/>
      <c r="V112" s="80"/>
      <c r="W112" s="80"/>
      <c r="X112" s="80"/>
      <c r="Y112" s="80"/>
      <c r="Z112" s="80"/>
      <c r="AA112" s="80"/>
      <c r="AB112" s="80"/>
      <c r="AC112" s="80"/>
      <c r="AD112" s="80"/>
      <c r="AE112" s="80"/>
      <c r="AF112" s="80"/>
      <c r="AG112" s="80"/>
      <c r="AH112" s="80"/>
      <c r="AI112" s="80"/>
    </row>
    <row r="113" spans="1:36" s="6" customFormat="1" outlineLevel="1">
      <c r="A113" s="119"/>
      <c r="B113" s="376" t="str">
        <f>'Transportation policies'!A53</f>
        <v>Encouraging energy-efficient freight deliveries</v>
      </c>
      <c r="C113" s="179">
        <v>3</v>
      </c>
      <c r="D113" s="179" t="str">
        <f>IF(AND(D114="",D115=""),"",0)</f>
        <v/>
      </c>
      <c r="E113" s="320">
        <f>SUM(E114:E115)</f>
        <v>0</v>
      </c>
      <c r="F113" s="80"/>
      <c r="G113" s="119"/>
      <c r="H113" s="119"/>
      <c r="I113" s="119"/>
      <c r="J113" s="119"/>
      <c r="K113" s="119"/>
      <c r="L113" s="119"/>
      <c r="M113" s="119"/>
      <c r="N113" s="119"/>
      <c r="O113" s="119"/>
      <c r="P113" s="119"/>
      <c r="Q113" s="80"/>
      <c r="R113" s="80"/>
      <c r="S113" s="80"/>
      <c r="T113" s="80"/>
      <c r="U113" s="80"/>
      <c r="V113" s="80"/>
      <c r="W113" s="80"/>
      <c r="X113" s="80"/>
      <c r="Y113" s="80"/>
      <c r="Z113" s="80"/>
      <c r="AA113" s="80"/>
      <c r="AB113" s="80"/>
      <c r="AC113" s="80"/>
      <c r="AD113" s="80"/>
      <c r="AE113" s="80"/>
      <c r="AF113" s="80"/>
      <c r="AG113" s="80"/>
      <c r="AH113" s="80"/>
      <c r="AI113" s="80"/>
    </row>
    <row r="114" spans="1:36" s="6" customFormat="1" outlineLevel="1">
      <c r="A114" s="119"/>
      <c r="B114" s="377" t="s">
        <v>552</v>
      </c>
      <c r="C114" s="378">
        <v>2</v>
      </c>
      <c r="D114" s="378" t="str">
        <f>IF(E114="","",0)</f>
        <v/>
      </c>
      <c r="E114" s="386" t="str">
        <f>IF('Transportation policies'!E53="","",SUM('Transportation policies'!E53))</f>
        <v/>
      </c>
      <c r="F114" s="80"/>
      <c r="G114" s="119"/>
      <c r="H114" s="119"/>
      <c r="I114" s="119"/>
      <c r="J114" s="119"/>
      <c r="K114" s="119"/>
      <c r="L114" s="119"/>
      <c r="M114" s="119"/>
      <c r="N114" s="119"/>
      <c r="O114" s="119"/>
      <c r="P114" s="119"/>
      <c r="Q114" s="80"/>
      <c r="R114" s="80"/>
      <c r="S114" s="80"/>
      <c r="T114" s="80"/>
      <c r="U114" s="80"/>
      <c r="V114" s="80"/>
      <c r="W114" s="80"/>
      <c r="X114" s="80"/>
      <c r="Y114" s="80"/>
      <c r="Z114" s="80"/>
      <c r="AA114" s="80"/>
      <c r="AB114" s="80"/>
      <c r="AC114" s="80"/>
      <c r="AD114" s="80"/>
      <c r="AE114" s="80"/>
      <c r="AF114" s="80"/>
      <c r="AG114" s="80"/>
      <c r="AH114" s="80"/>
      <c r="AI114" s="80"/>
    </row>
    <row r="115" spans="1:36" s="6" customFormat="1" outlineLevel="1">
      <c r="A115" s="119"/>
      <c r="B115" s="384" t="s">
        <v>551</v>
      </c>
      <c r="C115" s="378">
        <v>1</v>
      </c>
      <c r="D115" s="378" t="str">
        <f>IF(E115="","",0)</f>
        <v/>
      </c>
      <c r="E115" s="321" t="str">
        <f>IF('Transportation policies'!E54="","",'Transportation policies'!E54)</f>
        <v/>
      </c>
      <c r="F115" s="80"/>
      <c r="G115" s="119"/>
      <c r="H115" s="119"/>
      <c r="I115" s="119"/>
      <c r="J115" s="119"/>
      <c r="K115" s="119"/>
      <c r="L115" s="119"/>
      <c r="M115" s="119"/>
      <c r="N115" s="119"/>
      <c r="O115" s="119"/>
      <c r="P115" s="119"/>
      <c r="Q115" s="80"/>
      <c r="R115" s="80"/>
      <c r="S115" s="80"/>
      <c r="T115" s="80"/>
      <c r="U115" s="80"/>
      <c r="V115" s="80"/>
      <c r="W115" s="80"/>
      <c r="X115" s="80"/>
      <c r="Y115" s="80"/>
      <c r="Z115" s="80"/>
      <c r="AA115" s="80"/>
      <c r="AB115" s="80"/>
      <c r="AC115" s="80"/>
      <c r="AD115" s="80"/>
      <c r="AE115" s="80"/>
      <c r="AF115" s="80"/>
      <c r="AG115" s="80"/>
      <c r="AH115" s="80"/>
      <c r="AI115" s="80"/>
    </row>
    <row r="116" spans="1:36" s="6" customFormat="1" outlineLevel="1">
      <c r="A116" s="119"/>
      <c r="B116" s="376" t="s">
        <v>585</v>
      </c>
      <c r="C116" s="179">
        <v>3</v>
      </c>
      <c r="D116" s="179" t="str">
        <f>IF(D117="","",0)</f>
        <v/>
      </c>
      <c r="E116" s="320">
        <f>SUM(E117)</f>
        <v>0</v>
      </c>
      <c r="F116" s="80"/>
      <c r="G116" s="119"/>
      <c r="H116" s="119"/>
      <c r="I116" s="119"/>
      <c r="J116" s="119"/>
      <c r="K116" s="119"/>
      <c r="L116" s="119"/>
      <c r="M116" s="119"/>
      <c r="N116" s="119"/>
      <c r="O116" s="119"/>
      <c r="P116" s="119"/>
      <c r="Q116" s="80"/>
      <c r="R116" s="80"/>
      <c r="S116" s="80"/>
      <c r="T116" s="80"/>
      <c r="U116" s="80"/>
      <c r="V116" s="80"/>
      <c r="W116" s="80"/>
      <c r="X116" s="80"/>
      <c r="Y116" s="80"/>
      <c r="Z116" s="80"/>
      <c r="AA116" s="80"/>
      <c r="AB116" s="80"/>
      <c r="AC116" s="80"/>
      <c r="AD116" s="80"/>
      <c r="AE116" s="80"/>
      <c r="AF116" s="80"/>
      <c r="AG116" s="80"/>
      <c r="AH116" s="80"/>
      <c r="AI116" s="80"/>
    </row>
    <row r="117" spans="1:36" s="6" customFormat="1" ht="15.75" outlineLevel="1" thickBot="1">
      <c r="A117" s="119"/>
      <c r="B117" s="387" t="s">
        <v>586</v>
      </c>
      <c r="C117" s="388">
        <v>3</v>
      </c>
      <c r="D117" s="388" t="str">
        <f>IF(E117="","",0)</f>
        <v/>
      </c>
      <c r="E117" s="322" t="str">
        <f>IF('Transportation policies'!E58="","",'Transportation policies'!E58)</f>
        <v/>
      </c>
      <c r="F117" s="80"/>
      <c r="G117"/>
      <c r="H117" s="119"/>
      <c r="I117" s="119"/>
      <c r="J117" s="119"/>
      <c r="K117" s="119"/>
      <c r="L117" s="119"/>
      <c r="M117" s="119"/>
      <c r="N117" s="119"/>
      <c r="O117" s="119"/>
      <c r="P117" s="119"/>
      <c r="Q117" s="80"/>
      <c r="R117" s="80"/>
      <c r="S117" s="80"/>
      <c r="T117" s="80"/>
      <c r="U117" s="80"/>
      <c r="V117" s="80"/>
      <c r="W117" s="80"/>
      <c r="X117" s="80"/>
      <c r="Y117" s="80"/>
      <c r="Z117" s="80"/>
      <c r="AA117" s="80"/>
      <c r="AB117" s="80"/>
      <c r="AC117" s="80"/>
      <c r="AD117" s="80"/>
      <c r="AE117" s="80"/>
      <c r="AF117" s="80"/>
      <c r="AG117" s="80"/>
      <c r="AH117" s="80"/>
      <c r="AI117" s="80"/>
    </row>
    <row r="118" spans="1:36">
      <c r="B118" s="80"/>
      <c r="C118" s="80"/>
      <c r="D118" s="80"/>
      <c r="E118" s="80"/>
      <c r="F118" s="80"/>
      <c r="G118" s="80"/>
      <c r="Q118" s="80"/>
      <c r="R118" s="80"/>
      <c r="S118" s="80"/>
      <c r="T118" s="80"/>
      <c r="U118" s="80"/>
      <c r="V118" s="80"/>
      <c r="W118" s="80"/>
      <c r="X118" s="80"/>
      <c r="Y118" s="80"/>
      <c r="Z118" s="80"/>
      <c r="AA118" s="80"/>
      <c r="AB118" s="80"/>
      <c r="AC118" s="80"/>
      <c r="AD118" s="80"/>
      <c r="AE118" s="80"/>
      <c r="AF118" s="80"/>
      <c r="AG118" s="80"/>
      <c r="AH118" s="80"/>
      <c r="AI118" s="80"/>
      <c r="AJ118" s="80"/>
    </row>
    <row r="119" spans="1:36">
      <c r="B119" s="80"/>
      <c r="C119" s="80"/>
      <c r="D119" s="80"/>
      <c r="E119" s="80"/>
      <c r="F119" s="80"/>
      <c r="G119" s="80"/>
      <c r="Q119" s="80"/>
      <c r="R119" s="80"/>
      <c r="S119" s="80"/>
      <c r="T119" s="80"/>
      <c r="U119" s="80"/>
      <c r="V119" s="80"/>
      <c r="W119" s="80"/>
      <c r="X119" s="80"/>
      <c r="Y119" s="80"/>
      <c r="Z119" s="80"/>
      <c r="AA119" s="80"/>
      <c r="AB119" s="80"/>
      <c r="AC119" s="80"/>
      <c r="AD119" s="80"/>
      <c r="AE119" s="80"/>
      <c r="AF119" s="80"/>
      <c r="AG119" s="80"/>
      <c r="AH119" s="80"/>
      <c r="AI119" s="80"/>
      <c r="AJ119" s="80"/>
    </row>
    <row r="120" spans="1:36">
      <c r="B120" s="82" t="s">
        <v>539</v>
      </c>
      <c r="C120" s="80"/>
      <c r="D120" s="80"/>
      <c r="E120" s="80"/>
      <c r="F120" s="80"/>
      <c r="G120" s="80"/>
      <c r="Q120" s="80"/>
      <c r="R120" s="80"/>
      <c r="S120" s="80"/>
      <c r="T120" s="80"/>
      <c r="U120" s="80"/>
      <c r="V120" s="80"/>
      <c r="W120" s="80"/>
      <c r="X120" s="80"/>
      <c r="Y120" s="80"/>
      <c r="Z120" s="80"/>
      <c r="AA120" s="80"/>
      <c r="AB120" s="80"/>
      <c r="AC120" s="80"/>
      <c r="AD120" s="80"/>
      <c r="AE120" s="80"/>
      <c r="AF120" s="80"/>
      <c r="AG120" s="80"/>
      <c r="AH120" s="80"/>
      <c r="AI120" s="80"/>
      <c r="AJ120" s="80"/>
    </row>
    <row r="121" spans="1:36">
      <c r="B121" s="80"/>
      <c r="C121" s="80"/>
      <c r="D121" s="80"/>
      <c r="E121" s="80"/>
      <c r="F121" s="80"/>
      <c r="Q121" s="80"/>
      <c r="R121" s="80"/>
      <c r="S121" s="80"/>
      <c r="T121" s="80"/>
      <c r="U121" s="80"/>
      <c r="V121" s="80"/>
      <c r="W121" s="80"/>
      <c r="X121" s="80"/>
      <c r="Y121" s="80"/>
      <c r="Z121" s="80"/>
      <c r="AA121" s="80"/>
      <c r="AB121" s="80"/>
      <c r="AC121" s="80"/>
      <c r="AD121" s="80"/>
      <c r="AE121" s="80"/>
      <c r="AF121" s="80"/>
      <c r="AG121" s="80"/>
      <c r="AH121" s="80"/>
      <c r="AI121" s="80"/>
      <c r="AJ121" s="80"/>
    </row>
    <row r="122" spans="1:36">
      <c r="B122" s="80"/>
      <c r="C122" s="80"/>
      <c r="D122" s="80"/>
      <c r="E122" s="80"/>
      <c r="F122" s="80"/>
      <c r="G122" s="80"/>
      <c r="Q122" s="80"/>
      <c r="R122" s="80"/>
      <c r="S122" s="80"/>
      <c r="T122" s="80"/>
      <c r="U122" s="80"/>
      <c r="V122" s="80"/>
      <c r="W122" s="80"/>
      <c r="X122" s="80"/>
      <c r="Y122" s="80"/>
      <c r="Z122" s="80"/>
      <c r="AA122" s="80"/>
      <c r="AB122" s="80"/>
      <c r="AC122" s="80"/>
      <c r="AD122" s="80"/>
      <c r="AE122" s="80"/>
      <c r="AF122" s="80"/>
      <c r="AG122" s="80"/>
      <c r="AH122" s="80"/>
      <c r="AI122" s="80"/>
      <c r="AJ122" s="80"/>
    </row>
    <row r="123" spans="1:36">
      <c r="B123" s="80"/>
      <c r="C123" s="80"/>
      <c r="D123" s="80"/>
      <c r="E123" s="80"/>
      <c r="F123" s="80"/>
      <c r="G123" s="80"/>
      <c r="Q123" s="80"/>
      <c r="R123" s="80"/>
      <c r="S123" s="80"/>
      <c r="T123" s="80"/>
      <c r="U123" s="80"/>
      <c r="V123" s="80"/>
      <c r="W123" s="80"/>
      <c r="X123" s="80"/>
      <c r="Y123" s="80"/>
      <c r="Z123" s="80"/>
      <c r="AA123" s="80"/>
      <c r="AB123" s="80"/>
      <c r="AC123" s="80"/>
      <c r="AD123" s="80"/>
      <c r="AE123" s="80"/>
      <c r="AF123" s="80"/>
      <c r="AG123" s="80"/>
      <c r="AH123" s="80"/>
      <c r="AI123" s="80"/>
      <c r="AJ123" s="80"/>
    </row>
    <row r="124" spans="1:36">
      <c r="B124" s="80"/>
      <c r="C124" s="80"/>
      <c r="D124" s="80"/>
      <c r="E124" s="80"/>
      <c r="F124" s="80"/>
      <c r="G124" s="80"/>
      <c r="Q124" s="80"/>
      <c r="R124" s="80"/>
      <c r="S124" s="80"/>
      <c r="T124" s="80"/>
      <c r="U124" s="80"/>
      <c r="V124" s="80"/>
      <c r="W124" s="80"/>
      <c r="X124" s="80"/>
      <c r="Y124" s="80"/>
      <c r="Z124" s="80"/>
      <c r="AA124" s="80"/>
      <c r="AB124" s="80"/>
      <c r="AC124" s="80"/>
      <c r="AD124" s="80"/>
      <c r="AE124" s="80"/>
      <c r="AF124" s="80"/>
      <c r="AG124" s="80"/>
      <c r="AH124" s="80"/>
      <c r="AI124" s="80"/>
      <c r="AJ124" s="80"/>
    </row>
    <row r="125" spans="1:36">
      <c r="B125" s="80"/>
      <c r="C125" s="80"/>
      <c r="D125" s="80"/>
      <c r="E125" s="80"/>
      <c r="F125" s="80"/>
      <c r="G125" s="80"/>
      <c r="Q125" s="80"/>
      <c r="R125" s="80"/>
      <c r="S125" s="80"/>
      <c r="T125" s="80"/>
      <c r="U125" s="80"/>
      <c r="V125" s="80"/>
      <c r="W125" s="80"/>
      <c r="X125" s="80"/>
      <c r="Y125" s="80"/>
      <c r="Z125" s="80"/>
      <c r="AA125" s="80"/>
      <c r="AB125" s="80"/>
      <c r="AC125" s="80"/>
      <c r="AD125" s="80"/>
      <c r="AE125" s="80"/>
      <c r="AF125" s="80"/>
      <c r="AG125" s="80"/>
      <c r="AH125" s="80"/>
      <c r="AI125" s="80"/>
      <c r="AJ125" s="80"/>
    </row>
    <row r="126" spans="1:36">
      <c r="B126" s="80"/>
      <c r="C126" s="80"/>
      <c r="D126" s="80"/>
      <c r="E126" s="80"/>
      <c r="F126" s="80"/>
      <c r="G126" s="80"/>
      <c r="Q126" s="80"/>
      <c r="R126" s="80"/>
      <c r="S126" s="80"/>
      <c r="T126" s="80"/>
      <c r="U126" s="80"/>
      <c r="V126" s="80"/>
      <c r="W126" s="80"/>
      <c r="X126" s="80"/>
      <c r="Y126" s="80"/>
      <c r="Z126" s="80"/>
      <c r="AA126" s="80"/>
      <c r="AB126" s="80"/>
      <c r="AC126" s="80"/>
      <c r="AD126" s="80"/>
      <c r="AE126" s="80"/>
      <c r="AF126" s="80"/>
      <c r="AG126" s="80"/>
      <c r="AH126" s="80"/>
      <c r="AI126" s="80"/>
      <c r="AJ126" s="80"/>
    </row>
    <row r="127" spans="1:36">
      <c r="B127" s="80"/>
      <c r="C127" s="80"/>
      <c r="D127" s="80"/>
      <c r="E127" s="80"/>
      <c r="F127" s="80"/>
      <c r="G127" s="80"/>
      <c r="Q127" s="80"/>
      <c r="R127" s="80"/>
      <c r="S127" s="80"/>
      <c r="T127" s="80"/>
      <c r="U127" s="80"/>
      <c r="V127" s="80"/>
      <c r="W127" s="80"/>
      <c r="X127" s="80"/>
      <c r="Y127" s="80"/>
      <c r="Z127" s="80"/>
      <c r="AA127" s="80"/>
      <c r="AB127" s="80"/>
      <c r="AC127" s="80"/>
      <c r="AD127" s="80"/>
      <c r="AE127" s="80"/>
      <c r="AF127" s="80"/>
      <c r="AG127" s="80"/>
      <c r="AH127" s="80"/>
      <c r="AI127" s="80"/>
      <c r="AJ127" s="80"/>
    </row>
    <row r="128" spans="1:36">
      <c r="B128" s="80"/>
      <c r="C128" s="80"/>
      <c r="D128" s="80"/>
      <c r="E128" s="80"/>
      <c r="F128" s="80"/>
      <c r="G128" s="80"/>
      <c r="Q128" s="80"/>
      <c r="R128" s="80"/>
      <c r="S128" s="80"/>
      <c r="T128" s="80"/>
      <c r="U128" s="80"/>
      <c r="V128" s="80"/>
      <c r="W128" s="80"/>
      <c r="X128" s="80"/>
      <c r="Y128" s="80"/>
      <c r="Z128" s="80"/>
      <c r="AA128" s="80"/>
      <c r="AB128" s="80"/>
      <c r="AC128" s="80"/>
      <c r="AD128" s="80"/>
      <c r="AE128" s="80"/>
      <c r="AF128" s="80"/>
      <c r="AG128" s="80"/>
      <c r="AH128" s="80"/>
      <c r="AI128" s="80"/>
      <c r="AJ128" s="80"/>
    </row>
    <row r="129" spans="2:36">
      <c r="B129" s="80"/>
      <c r="C129" s="80"/>
      <c r="D129" s="80"/>
      <c r="E129" s="80"/>
      <c r="F129" s="80"/>
      <c r="G129" s="80"/>
      <c r="Q129" s="80"/>
      <c r="R129" s="80"/>
      <c r="S129" s="80"/>
      <c r="T129" s="80"/>
      <c r="U129" s="80"/>
      <c r="V129" s="80"/>
      <c r="W129" s="80"/>
      <c r="X129" s="80"/>
      <c r="Y129" s="80"/>
      <c r="Z129" s="80"/>
      <c r="AA129" s="80"/>
      <c r="AB129" s="80"/>
      <c r="AC129" s="80"/>
      <c r="AD129" s="80"/>
      <c r="AE129" s="80"/>
      <c r="AF129" s="80"/>
      <c r="AG129" s="80"/>
      <c r="AH129" s="80"/>
      <c r="AI129" s="80"/>
      <c r="AJ129" s="80"/>
    </row>
    <row r="130" spans="2:36">
      <c r="B130" s="80"/>
      <c r="C130" s="80"/>
      <c r="D130" s="80"/>
      <c r="E130" s="80"/>
      <c r="F130" s="80"/>
      <c r="G130" s="80"/>
      <c r="Q130" s="80"/>
      <c r="R130" s="80"/>
      <c r="S130" s="80"/>
      <c r="T130" s="80"/>
      <c r="U130" s="80"/>
      <c r="V130" s="80"/>
      <c r="W130" s="80"/>
      <c r="X130" s="80"/>
      <c r="Y130" s="80"/>
      <c r="Z130" s="80"/>
      <c r="AA130" s="80"/>
      <c r="AB130" s="80"/>
      <c r="AC130" s="80"/>
      <c r="AD130" s="80"/>
      <c r="AE130" s="80"/>
      <c r="AF130" s="80"/>
      <c r="AG130" s="80"/>
      <c r="AH130" s="80"/>
      <c r="AI130" s="80"/>
      <c r="AJ130" s="80"/>
    </row>
    <row r="131" spans="2:36">
      <c r="B131" s="80"/>
      <c r="C131" s="80"/>
      <c r="D131" s="80"/>
      <c r="E131" s="80"/>
      <c r="F131" s="80"/>
      <c r="G131" s="80"/>
      <c r="Q131" s="80"/>
      <c r="R131" s="80"/>
      <c r="S131" s="80"/>
      <c r="T131" s="80"/>
      <c r="U131" s="80"/>
      <c r="V131" s="80"/>
      <c r="W131" s="80"/>
      <c r="X131" s="80"/>
      <c r="Y131" s="80"/>
      <c r="Z131" s="80"/>
      <c r="AA131" s="80"/>
      <c r="AB131" s="80"/>
      <c r="AC131" s="80"/>
      <c r="AD131" s="80"/>
      <c r="AE131" s="80"/>
      <c r="AF131" s="80"/>
      <c r="AG131" s="80"/>
      <c r="AH131" s="80"/>
      <c r="AI131" s="80"/>
      <c r="AJ131" s="80"/>
    </row>
    <row r="132" spans="2:36">
      <c r="B132" s="80"/>
      <c r="C132" s="80"/>
      <c r="D132" s="80"/>
      <c r="E132" s="80"/>
      <c r="F132" s="80"/>
      <c r="G132" s="80"/>
      <c r="Q132" s="80"/>
      <c r="R132" s="80"/>
      <c r="S132" s="80"/>
      <c r="T132" s="80"/>
      <c r="U132" s="80"/>
      <c r="V132" s="80"/>
      <c r="W132" s="80"/>
      <c r="X132" s="80"/>
      <c r="Y132" s="80"/>
      <c r="Z132" s="80"/>
      <c r="AA132" s="80"/>
      <c r="AB132" s="80"/>
      <c r="AC132" s="80"/>
      <c r="AD132" s="80"/>
      <c r="AE132" s="80"/>
      <c r="AF132" s="80"/>
      <c r="AG132" s="80"/>
      <c r="AH132" s="80"/>
      <c r="AI132" s="80"/>
      <c r="AJ132" s="80"/>
    </row>
    <row r="133" spans="2:36">
      <c r="B133" s="80"/>
      <c r="C133" s="80"/>
      <c r="D133" s="80"/>
      <c r="E133" s="80"/>
      <c r="F133" s="80"/>
      <c r="G133" s="80"/>
      <c r="Q133" s="80"/>
      <c r="R133" s="80"/>
      <c r="S133" s="80"/>
      <c r="T133" s="80"/>
      <c r="U133" s="80"/>
      <c r="V133" s="80"/>
      <c r="W133" s="80"/>
      <c r="X133" s="80"/>
      <c r="Y133" s="80"/>
      <c r="Z133" s="80"/>
      <c r="AA133" s="80"/>
      <c r="AB133" s="80"/>
      <c r="AC133" s="80"/>
      <c r="AD133" s="80"/>
      <c r="AE133" s="80"/>
      <c r="AF133" s="80"/>
      <c r="AG133" s="80"/>
      <c r="AH133" s="80"/>
      <c r="AI133" s="80"/>
      <c r="AJ133" s="80"/>
    </row>
    <row r="134" spans="2:36">
      <c r="B134" s="80"/>
      <c r="C134" s="80"/>
      <c r="D134" s="80"/>
      <c r="E134" s="80"/>
      <c r="F134" s="80"/>
      <c r="G134" s="80"/>
      <c r="Q134" s="80"/>
      <c r="R134" s="80"/>
      <c r="S134" s="80"/>
      <c r="T134" s="80"/>
      <c r="U134" s="80"/>
      <c r="V134" s="80"/>
      <c r="W134" s="80"/>
      <c r="X134" s="80"/>
      <c r="Y134" s="80"/>
      <c r="Z134" s="80"/>
      <c r="AA134" s="80"/>
      <c r="AB134" s="80"/>
      <c r="AC134" s="80"/>
      <c r="AD134" s="80"/>
      <c r="AE134" s="80"/>
      <c r="AF134" s="80"/>
      <c r="AG134" s="80"/>
      <c r="AH134" s="80"/>
      <c r="AI134" s="80"/>
      <c r="AJ134" s="80"/>
    </row>
    <row r="135" spans="2:36">
      <c r="B135" s="80"/>
      <c r="C135" s="80"/>
      <c r="D135" s="80"/>
      <c r="E135" s="80"/>
      <c r="F135" s="80"/>
      <c r="G135" s="80"/>
      <c r="Q135" s="80"/>
      <c r="R135" s="80"/>
      <c r="S135" s="80"/>
      <c r="T135" s="80"/>
      <c r="U135" s="80"/>
      <c r="V135" s="80"/>
      <c r="W135" s="80"/>
      <c r="X135" s="80"/>
      <c r="Y135" s="80"/>
      <c r="Z135" s="80"/>
      <c r="AA135" s="80"/>
      <c r="AB135" s="80"/>
      <c r="AC135" s="80"/>
      <c r="AD135" s="80"/>
      <c r="AE135" s="80"/>
      <c r="AF135" s="80"/>
      <c r="AG135" s="80"/>
      <c r="AH135" s="80"/>
      <c r="AI135" s="80"/>
      <c r="AJ135" s="80"/>
    </row>
    <row r="136" spans="2:36">
      <c r="B136" s="80"/>
      <c r="C136" s="80"/>
      <c r="D136" s="80"/>
      <c r="E136" s="80"/>
      <c r="F136" s="80"/>
      <c r="G136" s="80"/>
      <c r="Q136" s="80"/>
      <c r="R136" s="80"/>
      <c r="S136" s="80"/>
      <c r="T136" s="80"/>
      <c r="U136" s="80"/>
      <c r="V136" s="80"/>
      <c r="W136" s="80"/>
      <c r="X136" s="80"/>
      <c r="Y136" s="80"/>
      <c r="Z136" s="80"/>
      <c r="AA136" s="80"/>
      <c r="AB136" s="80"/>
      <c r="AC136" s="80"/>
      <c r="AD136" s="80"/>
      <c r="AE136" s="80"/>
      <c r="AF136" s="80"/>
      <c r="AG136" s="80"/>
      <c r="AH136" s="80"/>
      <c r="AI136" s="80"/>
      <c r="AJ136" s="80"/>
    </row>
    <row r="137" spans="2:36">
      <c r="B137" s="80"/>
      <c r="C137" s="80"/>
      <c r="D137" s="80"/>
      <c r="E137" s="80"/>
      <c r="F137" s="80"/>
      <c r="G137" s="80"/>
      <c r="Q137" s="80"/>
      <c r="R137" s="80"/>
      <c r="S137" s="80"/>
      <c r="T137" s="80"/>
      <c r="U137" s="80"/>
      <c r="V137" s="80"/>
      <c r="W137" s="80"/>
      <c r="X137" s="80"/>
      <c r="Y137" s="80"/>
      <c r="Z137" s="80"/>
      <c r="AA137" s="80"/>
      <c r="AB137" s="80"/>
      <c r="AC137" s="80"/>
      <c r="AD137" s="80"/>
      <c r="AE137" s="80"/>
      <c r="AF137" s="80"/>
      <c r="AG137" s="80"/>
      <c r="AH137" s="80"/>
      <c r="AI137" s="80"/>
      <c r="AJ137" s="80"/>
    </row>
    <row r="138" spans="2:36">
      <c r="B138" s="80"/>
      <c r="C138" s="80"/>
      <c r="D138" s="80"/>
      <c r="E138" s="80"/>
      <c r="F138" s="80"/>
      <c r="G138" s="80"/>
      <c r="Q138" s="80"/>
      <c r="R138" s="80"/>
      <c r="S138" s="80"/>
      <c r="T138" s="80"/>
      <c r="U138" s="80"/>
      <c r="V138" s="80"/>
      <c r="W138" s="80"/>
      <c r="X138" s="80"/>
      <c r="Y138" s="80"/>
      <c r="Z138" s="80"/>
      <c r="AA138" s="80"/>
      <c r="AB138" s="80"/>
      <c r="AC138" s="80"/>
      <c r="AD138" s="80"/>
      <c r="AE138" s="80"/>
      <c r="AF138" s="80"/>
      <c r="AG138" s="80"/>
      <c r="AH138" s="80"/>
      <c r="AI138" s="80"/>
      <c r="AJ138" s="80"/>
    </row>
    <row r="139" spans="2:36">
      <c r="B139" s="80"/>
      <c r="C139" s="80"/>
      <c r="D139" s="80"/>
      <c r="E139" s="80"/>
      <c r="F139" s="80"/>
      <c r="G139" s="80"/>
      <c r="Q139" s="80"/>
      <c r="R139" s="80"/>
      <c r="S139" s="80"/>
      <c r="T139" s="80"/>
      <c r="U139" s="80"/>
      <c r="V139" s="80"/>
      <c r="W139" s="80"/>
      <c r="X139" s="80"/>
      <c r="Y139" s="80"/>
      <c r="Z139" s="80"/>
      <c r="AA139" s="80"/>
      <c r="AB139" s="80"/>
      <c r="AC139" s="80"/>
      <c r="AD139" s="80"/>
      <c r="AE139" s="80"/>
      <c r="AF139" s="80"/>
      <c r="AG139" s="80"/>
      <c r="AH139" s="80"/>
      <c r="AI139" s="80"/>
      <c r="AJ139" s="80"/>
    </row>
    <row r="140" spans="2:36">
      <c r="B140" s="80"/>
      <c r="C140" s="80"/>
      <c r="D140" s="80"/>
      <c r="E140" s="80"/>
      <c r="F140" s="80"/>
      <c r="G140" s="80"/>
      <c r="Q140" s="80"/>
      <c r="R140" s="80"/>
      <c r="S140" s="80"/>
      <c r="T140" s="80"/>
      <c r="U140" s="80"/>
      <c r="V140" s="80"/>
      <c r="W140" s="80"/>
      <c r="X140" s="80"/>
      <c r="Y140" s="80"/>
      <c r="Z140" s="80"/>
      <c r="AA140" s="80"/>
      <c r="AB140" s="80"/>
      <c r="AC140" s="80"/>
      <c r="AD140" s="80"/>
      <c r="AE140" s="80"/>
      <c r="AF140" s="80"/>
      <c r="AG140" s="80"/>
      <c r="AH140" s="80"/>
      <c r="AI140" s="80"/>
      <c r="AJ140" s="80"/>
    </row>
    <row r="141" spans="2:36">
      <c r="B141" s="80"/>
      <c r="C141" s="80"/>
      <c r="D141" s="80"/>
      <c r="E141" s="80"/>
      <c r="F141" s="80"/>
      <c r="G141" s="80"/>
      <c r="Q141" s="80"/>
      <c r="R141" s="80"/>
      <c r="S141" s="80"/>
      <c r="T141" s="80"/>
      <c r="U141" s="80"/>
      <c r="V141" s="80"/>
      <c r="W141" s="80"/>
      <c r="X141" s="80"/>
      <c r="Y141" s="80"/>
      <c r="Z141" s="80"/>
      <c r="AA141" s="80"/>
      <c r="AB141" s="80"/>
      <c r="AC141" s="80"/>
      <c r="AD141" s="80"/>
      <c r="AE141" s="80"/>
      <c r="AF141" s="80"/>
      <c r="AG141" s="80"/>
      <c r="AH141" s="80"/>
      <c r="AI141" s="80"/>
      <c r="AJ141" s="80"/>
    </row>
    <row r="142" spans="2:36">
      <c r="B142" s="80"/>
      <c r="C142" s="80"/>
      <c r="D142" s="80"/>
      <c r="E142" s="80"/>
      <c r="F142" s="80"/>
      <c r="G142" s="80"/>
      <c r="Q142" s="80"/>
      <c r="R142" s="80"/>
      <c r="S142" s="80"/>
      <c r="T142" s="80"/>
      <c r="U142" s="80"/>
      <c r="V142" s="80"/>
      <c r="W142" s="80"/>
      <c r="X142" s="80"/>
      <c r="Y142" s="80"/>
      <c r="Z142" s="80"/>
      <c r="AA142" s="80"/>
      <c r="AB142" s="80"/>
      <c r="AC142" s="80"/>
      <c r="AD142" s="80"/>
      <c r="AE142" s="80"/>
      <c r="AF142" s="80"/>
      <c r="AG142" s="80"/>
      <c r="AH142" s="80"/>
      <c r="AI142" s="80"/>
      <c r="AJ142" s="80"/>
    </row>
    <row r="143" spans="2:36">
      <c r="B143" s="80"/>
      <c r="C143" s="80"/>
      <c r="D143" s="80"/>
      <c r="E143" s="80"/>
      <c r="F143" s="80"/>
      <c r="G143" s="80"/>
      <c r="Q143" s="80"/>
      <c r="R143" s="80"/>
      <c r="S143" s="80"/>
      <c r="T143" s="80"/>
      <c r="U143" s="80"/>
      <c r="V143" s="80"/>
      <c r="W143" s="80"/>
      <c r="X143" s="80"/>
      <c r="Y143" s="80"/>
      <c r="Z143" s="80"/>
      <c r="AA143" s="80"/>
      <c r="AB143" s="80"/>
      <c r="AC143" s="80"/>
      <c r="AD143" s="80"/>
      <c r="AE143" s="80"/>
      <c r="AF143" s="80"/>
      <c r="AG143" s="80"/>
      <c r="AH143" s="80"/>
      <c r="AI143" s="80"/>
      <c r="AJ143" s="80"/>
    </row>
    <row r="144" spans="2:36">
      <c r="B144" s="80"/>
      <c r="C144" s="80"/>
      <c r="D144" s="80"/>
      <c r="E144" s="80"/>
      <c r="F144" s="80"/>
      <c r="G144" s="80"/>
      <c r="Q144" s="80"/>
      <c r="R144" s="80"/>
      <c r="S144" s="80"/>
      <c r="T144" s="80"/>
      <c r="U144" s="80"/>
      <c r="V144" s="80"/>
      <c r="W144" s="80"/>
      <c r="X144" s="80"/>
      <c r="Y144" s="80"/>
      <c r="Z144" s="80"/>
      <c r="AA144" s="80"/>
      <c r="AB144" s="80"/>
      <c r="AC144" s="80"/>
      <c r="AD144" s="80"/>
      <c r="AE144" s="80"/>
      <c r="AF144" s="80"/>
      <c r="AG144" s="80"/>
      <c r="AH144" s="80"/>
      <c r="AI144" s="80"/>
      <c r="AJ144" s="80"/>
    </row>
    <row r="145" spans="2:36">
      <c r="B145" s="80"/>
      <c r="C145" s="80"/>
      <c r="D145" s="80"/>
      <c r="E145" s="80"/>
      <c r="F145" s="80"/>
      <c r="G145" s="80"/>
      <c r="Q145" s="80"/>
      <c r="R145" s="80"/>
      <c r="S145" s="80"/>
      <c r="T145" s="80"/>
      <c r="U145" s="80"/>
      <c r="V145" s="80"/>
      <c r="W145" s="80"/>
      <c r="X145" s="80"/>
      <c r="Y145" s="80"/>
      <c r="Z145" s="80"/>
      <c r="AA145" s="80"/>
      <c r="AB145" s="80"/>
      <c r="AC145" s="80"/>
      <c r="AD145" s="80"/>
      <c r="AE145" s="80"/>
      <c r="AF145" s="80"/>
      <c r="AG145" s="80"/>
      <c r="AH145" s="80"/>
      <c r="AI145" s="80"/>
      <c r="AJ145" s="80"/>
    </row>
    <row r="146" spans="2:36">
      <c r="B146" s="80"/>
      <c r="C146" s="80"/>
      <c r="D146" s="80"/>
      <c r="E146" s="80"/>
      <c r="F146" s="80"/>
      <c r="G146" s="80"/>
      <c r="Q146" s="80"/>
      <c r="R146" s="80"/>
      <c r="S146" s="80"/>
      <c r="T146" s="80"/>
      <c r="U146" s="80"/>
      <c r="V146" s="80"/>
      <c r="W146" s="80"/>
      <c r="X146" s="80"/>
      <c r="Y146" s="80"/>
      <c r="Z146" s="80"/>
      <c r="AA146" s="80"/>
      <c r="AB146" s="80"/>
      <c r="AC146" s="80"/>
      <c r="AD146" s="80"/>
      <c r="AE146" s="80"/>
      <c r="AF146" s="80"/>
      <c r="AG146" s="80"/>
      <c r="AH146" s="80"/>
      <c r="AI146" s="80"/>
      <c r="AJ146" s="80"/>
    </row>
    <row r="147" spans="2:36">
      <c r="B147" s="80"/>
      <c r="C147" s="80"/>
      <c r="D147" s="80"/>
      <c r="E147" s="80"/>
      <c r="F147" s="80"/>
      <c r="G147" s="80"/>
      <c r="Q147" s="80"/>
      <c r="R147" s="80"/>
      <c r="S147" s="80"/>
      <c r="T147" s="80"/>
      <c r="U147" s="80"/>
      <c r="V147" s="80"/>
      <c r="W147" s="80"/>
      <c r="X147" s="80"/>
      <c r="Y147" s="80"/>
      <c r="Z147" s="80"/>
      <c r="AA147" s="80"/>
      <c r="AB147" s="80"/>
      <c r="AC147" s="80"/>
      <c r="AD147" s="80"/>
      <c r="AE147" s="80"/>
      <c r="AF147" s="80"/>
      <c r="AG147" s="80"/>
      <c r="AH147" s="80"/>
      <c r="AI147" s="80"/>
      <c r="AJ147" s="80"/>
    </row>
    <row r="148" spans="2:36">
      <c r="B148" s="80"/>
      <c r="C148" s="80"/>
      <c r="D148" s="80"/>
      <c r="E148" s="80"/>
      <c r="F148" s="80"/>
      <c r="G148" s="80"/>
      <c r="Q148" s="80"/>
      <c r="R148" s="80"/>
      <c r="S148" s="80"/>
      <c r="T148" s="80"/>
      <c r="U148" s="80"/>
      <c r="V148" s="80"/>
      <c r="W148" s="80"/>
      <c r="X148" s="80"/>
      <c r="Y148" s="80"/>
      <c r="Z148" s="80"/>
      <c r="AA148" s="80"/>
      <c r="AB148" s="80"/>
      <c r="AC148" s="80"/>
      <c r="AD148" s="80"/>
      <c r="AE148" s="80"/>
      <c r="AF148" s="80"/>
      <c r="AG148" s="80"/>
      <c r="AH148" s="80"/>
      <c r="AI148" s="80"/>
      <c r="AJ148" s="80"/>
    </row>
    <row r="149" spans="2:36">
      <c r="B149" s="80"/>
      <c r="C149" s="80"/>
      <c r="D149" s="80"/>
      <c r="E149" s="80"/>
      <c r="F149" s="80"/>
      <c r="G149" s="80"/>
      <c r="Q149" s="80"/>
      <c r="R149" s="80"/>
      <c r="S149" s="80"/>
      <c r="T149" s="80"/>
      <c r="U149" s="80"/>
      <c r="V149" s="80"/>
      <c r="W149" s="80"/>
      <c r="X149" s="80"/>
      <c r="Y149" s="80"/>
      <c r="Z149" s="80"/>
      <c r="AA149" s="80"/>
      <c r="AB149" s="80"/>
      <c r="AC149" s="80"/>
      <c r="AD149" s="80"/>
      <c r="AE149" s="80"/>
      <c r="AF149" s="80"/>
      <c r="AG149" s="80"/>
      <c r="AH149" s="80"/>
      <c r="AI149" s="80"/>
      <c r="AJ149" s="80"/>
    </row>
    <row r="150" spans="2:36">
      <c r="B150" s="80"/>
      <c r="C150" s="80"/>
      <c r="D150" s="80"/>
      <c r="E150" s="80"/>
      <c r="F150" s="80"/>
      <c r="G150" s="80"/>
      <c r="Q150" s="80"/>
      <c r="R150" s="80"/>
      <c r="S150" s="80"/>
      <c r="T150" s="80"/>
      <c r="U150" s="80"/>
      <c r="V150" s="80"/>
      <c r="W150" s="80"/>
      <c r="X150" s="80"/>
      <c r="Y150" s="80"/>
      <c r="Z150" s="80"/>
      <c r="AA150" s="80"/>
      <c r="AB150" s="80"/>
      <c r="AC150" s="80"/>
      <c r="AD150" s="80"/>
      <c r="AE150" s="80"/>
      <c r="AF150" s="80"/>
      <c r="AG150" s="80"/>
      <c r="AH150" s="80"/>
      <c r="AI150" s="80"/>
      <c r="AJ150" s="80"/>
    </row>
    <row r="151" spans="2:36">
      <c r="B151" s="80"/>
      <c r="C151" s="80"/>
      <c r="D151" s="80"/>
      <c r="E151" s="80"/>
      <c r="F151" s="80"/>
      <c r="G151" s="80"/>
      <c r="Q151" s="80"/>
      <c r="R151" s="80"/>
      <c r="S151" s="80"/>
      <c r="T151" s="80"/>
      <c r="U151" s="80"/>
      <c r="V151" s="80"/>
      <c r="W151" s="80"/>
      <c r="X151" s="80"/>
      <c r="Y151" s="80"/>
      <c r="Z151" s="80"/>
      <c r="AA151" s="80"/>
      <c r="AB151" s="80"/>
      <c r="AC151" s="80"/>
      <c r="AD151" s="80"/>
      <c r="AE151" s="80"/>
      <c r="AF151" s="80"/>
      <c r="AG151" s="80"/>
      <c r="AH151" s="80"/>
      <c r="AI151" s="80"/>
      <c r="AJ151" s="80"/>
    </row>
    <row r="152" spans="2:36">
      <c r="B152" s="80"/>
      <c r="C152" s="80"/>
      <c r="D152" s="80"/>
      <c r="E152" s="80"/>
      <c r="F152" s="80"/>
      <c r="G152" s="80"/>
      <c r="Q152" s="80"/>
      <c r="R152" s="80"/>
      <c r="S152" s="80"/>
      <c r="T152" s="80"/>
      <c r="U152" s="80"/>
      <c r="V152" s="80"/>
      <c r="W152" s="80"/>
      <c r="X152" s="80"/>
      <c r="Y152" s="80"/>
      <c r="Z152" s="80"/>
      <c r="AA152" s="80"/>
      <c r="AB152" s="80"/>
      <c r="AC152" s="80"/>
      <c r="AD152" s="80"/>
      <c r="AE152" s="80"/>
      <c r="AF152" s="80"/>
      <c r="AG152" s="80"/>
      <c r="AH152" s="80"/>
      <c r="AI152" s="80"/>
      <c r="AJ152" s="80"/>
    </row>
    <row r="153" spans="2:36">
      <c r="B153" s="80"/>
      <c r="C153" s="80"/>
      <c r="D153" s="80"/>
      <c r="E153" s="80"/>
      <c r="F153" s="80"/>
      <c r="G153" s="80"/>
      <c r="Q153" s="80"/>
      <c r="R153" s="80"/>
      <c r="S153" s="80"/>
      <c r="T153" s="80"/>
      <c r="U153" s="80"/>
      <c r="V153" s="80"/>
      <c r="W153" s="80"/>
      <c r="X153" s="80"/>
      <c r="Y153" s="80"/>
      <c r="Z153" s="80"/>
      <c r="AA153" s="80"/>
      <c r="AB153" s="80"/>
      <c r="AC153" s="80"/>
      <c r="AD153" s="80"/>
      <c r="AE153" s="80"/>
      <c r="AF153" s="80"/>
      <c r="AG153" s="80"/>
      <c r="AH153" s="80"/>
      <c r="AI153" s="80"/>
      <c r="AJ153" s="80"/>
    </row>
    <row r="154" spans="2:36">
      <c r="B154" s="80"/>
      <c r="C154" s="80"/>
      <c r="D154" s="80"/>
      <c r="E154" s="80"/>
      <c r="F154" s="80"/>
      <c r="G154" s="80"/>
      <c r="Q154" s="80"/>
      <c r="R154" s="80"/>
      <c r="S154" s="80"/>
      <c r="T154" s="80"/>
      <c r="U154" s="80"/>
      <c r="V154" s="80"/>
      <c r="W154" s="80"/>
      <c r="X154" s="80"/>
      <c r="Y154" s="80"/>
      <c r="Z154" s="80"/>
      <c r="AA154" s="80"/>
      <c r="AB154" s="80"/>
      <c r="AC154" s="80"/>
      <c r="AD154" s="80"/>
      <c r="AE154" s="80"/>
      <c r="AF154" s="80"/>
      <c r="AG154" s="80"/>
      <c r="AH154" s="80"/>
      <c r="AI154" s="80"/>
      <c r="AJ154" s="80"/>
    </row>
    <row r="155" spans="2:36">
      <c r="B155" s="80"/>
      <c r="C155" s="80"/>
      <c r="D155" s="80"/>
      <c r="E155" s="80"/>
      <c r="F155" s="80"/>
      <c r="G155" s="80"/>
      <c r="Q155" s="80"/>
      <c r="R155" s="80"/>
      <c r="S155" s="80"/>
      <c r="T155" s="80"/>
      <c r="U155" s="80"/>
      <c r="V155" s="80"/>
      <c r="W155" s="80"/>
      <c r="X155" s="80"/>
      <c r="Y155" s="80"/>
      <c r="Z155" s="80"/>
      <c r="AA155" s="80"/>
      <c r="AB155" s="80"/>
      <c r="AC155" s="80"/>
      <c r="AD155" s="80"/>
      <c r="AE155" s="80"/>
      <c r="AF155" s="80"/>
      <c r="AG155" s="80"/>
      <c r="AH155" s="80"/>
      <c r="AI155" s="80"/>
      <c r="AJ155" s="80"/>
    </row>
    <row r="156" spans="2:36">
      <c r="B156" s="80"/>
      <c r="C156" s="80"/>
      <c r="D156" s="80"/>
      <c r="E156" s="80"/>
      <c r="F156" s="80"/>
      <c r="G156" s="80"/>
      <c r="Q156" s="80"/>
      <c r="R156" s="80"/>
      <c r="S156" s="80"/>
      <c r="T156" s="80"/>
      <c r="U156" s="80"/>
      <c r="V156" s="80"/>
      <c r="W156" s="80"/>
      <c r="X156" s="80"/>
      <c r="Y156" s="80"/>
      <c r="Z156" s="80"/>
      <c r="AA156" s="80"/>
      <c r="AB156" s="80"/>
      <c r="AC156" s="80"/>
      <c r="AD156" s="80"/>
      <c r="AE156" s="80"/>
      <c r="AF156" s="80"/>
      <c r="AG156" s="80"/>
      <c r="AH156" s="80"/>
      <c r="AI156" s="80"/>
      <c r="AJ156" s="80"/>
    </row>
    <row r="157" spans="2:36">
      <c r="B157" s="80"/>
      <c r="C157" s="80"/>
      <c r="D157" s="80"/>
      <c r="E157" s="80"/>
      <c r="F157" s="80"/>
      <c r="G157" s="80"/>
      <c r="Q157" s="80"/>
      <c r="R157" s="80"/>
      <c r="S157" s="80"/>
      <c r="T157" s="80"/>
      <c r="U157" s="80"/>
      <c r="V157" s="80"/>
      <c r="W157" s="80"/>
      <c r="X157" s="80"/>
      <c r="Y157" s="80"/>
      <c r="Z157" s="80"/>
      <c r="AA157" s="80"/>
      <c r="AB157" s="80"/>
      <c r="AC157" s="80"/>
      <c r="AD157" s="80"/>
      <c r="AE157" s="80"/>
      <c r="AF157" s="80"/>
      <c r="AG157" s="80"/>
      <c r="AH157" s="80"/>
      <c r="AI157" s="80"/>
      <c r="AJ157" s="80"/>
    </row>
    <row r="158" spans="2:36">
      <c r="B158" s="80"/>
      <c r="C158" s="80"/>
      <c r="D158" s="80"/>
      <c r="E158" s="80"/>
      <c r="F158" s="80"/>
      <c r="G158" s="80"/>
      <c r="Q158" s="80"/>
      <c r="R158" s="80"/>
      <c r="S158" s="80"/>
      <c r="T158" s="80"/>
      <c r="U158" s="80"/>
      <c r="V158" s="80"/>
      <c r="W158" s="80"/>
      <c r="X158" s="80"/>
      <c r="Y158" s="80"/>
      <c r="Z158" s="80"/>
      <c r="AA158" s="80"/>
      <c r="AB158" s="80"/>
      <c r="AC158" s="80"/>
      <c r="AD158" s="80"/>
      <c r="AE158" s="80"/>
      <c r="AF158" s="80"/>
      <c r="AG158" s="80"/>
      <c r="AH158" s="80"/>
      <c r="AI158" s="80"/>
      <c r="AJ158" s="80"/>
    </row>
    <row r="159" spans="2:36">
      <c r="B159" s="80"/>
      <c r="C159" s="80"/>
      <c r="D159" s="80"/>
      <c r="E159" s="80"/>
      <c r="F159" s="80"/>
      <c r="G159" s="80"/>
      <c r="Q159" s="80"/>
      <c r="R159" s="80"/>
      <c r="S159" s="80"/>
      <c r="T159" s="80"/>
      <c r="U159" s="80"/>
      <c r="V159" s="80"/>
      <c r="W159" s="80"/>
      <c r="X159" s="80"/>
      <c r="Y159" s="80"/>
      <c r="Z159" s="80"/>
      <c r="AA159" s="80"/>
      <c r="AB159" s="80"/>
      <c r="AC159" s="80"/>
      <c r="AD159" s="80"/>
      <c r="AE159" s="80"/>
      <c r="AF159" s="80"/>
      <c r="AG159" s="80"/>
      <c r="AH159" s="80"/>
      <c r="AI159" s="80"/>
      <c r="AJ159" s="80"/>
    </row>
    <row r="160" spans="2:36">
      <c r="B160" s="80"/>
      <c r="C160" s="80"/>
      <c r="D160" s="80"/>
      <c r="E160" s="80"/>
      <c r="F160" s="80"/>
      <c r="G160" s="80"/>
      <c r="Q160" s="80"/>
      <c r="R160" s="80"/>
      <c r="S160" s="80"/>
      <c r="T160" s="80"/>
      <c r="U160" s="80"/>
      <c r="V160" s="80"/>
      <c r="W160" s="80"/>
      <c r="X160" s="80"/>
      <c r="Y160" s="80"/>
      <c r="Z160" s="80"/>
      <c r="AA160" s="80"/>
      <c r="AB160" s="80"/>
      <c r="AC160" s="80"/>
      <c r="AD160" s="80"/>
      <c r="AE160" s="80"/>
      <c r="AF160" s="80"/>
      <c r="AG160" s="80"/>
      <c r="AH160" s="80"/>
      <c r="AI160" s="80"/>
      <c r="AJ160" s="80"/>
    </row>
    <row r="161" spans="2:36">
      <c r="B161" s="80"/>
      <c r="C161" s="80"/>
      <c r="D161" s="80"/>
      <c r="E161" s="80"/>
      <c r="F161" s="80"/>
      <c r="G161" s="80"/>
      <c r="Q161" s="80"/>
      <c r="R161" s="80"/>
      <c r="S161" s="80"/>
      <c r="T161" s="80"/>
      <c r="U161" s="80"/>
      <c r="V161" s="80"/>
      <c r="W161" s="80"/>
      <c r="X161" s="80"/>
      <c r="Y161" s="80"/>
      <c r="Z161" s="80"/>
      <c r="AA161" s="80"/>
      <c r="AB161" s="80"/>
      <c r="AC161" s="80"/>
      <c r="AD161" s="80"/>
      <c r="AE161" s="80"/>
      <c r="AF161" s="80"/>
      <c r="AG161" s="80"/>
      <c r="AH161" s="80"/>
      <c r="AI161" s="80"/>
      <c r="AJ161" s="80"/>
    </row>
    <row r="162" spans="2:36">
      <c r="B162" s="80"/>
      <c r="C162" s="80"/>
      <c r="D162" s="80"/>
      <c r="E162" s="80"/>
      <c r="F162" s="80"/>
      <c r="G162" s="80"/>
      <c r="Q162" s="80"/>
      <c r="R162" s="80"/>
      <c r="S162" s="80"/>
      <c r="T162" s="80"/>
      <c r="U162" s="80"/>
      <c r="V162" s="80"/>
      <c r="W162" s="80"/>
      <c r="X162" s="80"/>
      <c r="Y162" s="80"/>
      <c r="Z162" s="80"/>
      <c r="AA162" s="80"/>
      <c r="AB162" s="80"/>
      <c r="AC162" s="80"/>
      <c r="AD162" s="80"/>
      <c r="AE162" s="80"/>
      <c r="AF162" s="80"/>
      <c r="AG162" s="80"/>
      <c r="AH162" s="80"/>
      <c r="AI162" s="80"/>
      <c r="AJ162" s="80"/>
    </row>
    <row r="163" spans="2:36">
      <c r="B163" s="80"/>
      <c r="C163" s="80"/>
      <c r="D163" s="80"/>
      <c r="E163" s="80"/>
      <c r="F163" s="80"/>
      <c r="G163" s="80"/>
      <c r="Q163" s="80"/>
      <c r="R163" s="80"/>
      <c r="S163" s="80"/>
      <c r="T163" s="80"/>
      <c r="U163" s="80"/>
      <c r="V163" s="80"/>
      <c r="W163" s="80"/>
      <c r="X163" s="80"/>
      <c r="Y163" s="80"/>
      <c r="Z163" s="80"/>
      <c r="AA163" s="80"/>
      <c r="AB163" s="80"/>
      <c r="AC163" s="80"/>
      <c r="AD163" s="80"/>
      <c r="AE163" s="80"/>
      <c r="AF163" s="80"/>
      <c r="AG163" s="80"/>
      <c r="AH163" s="80"/>
      <c r="AI163" s="80"/>
      <c r="AJ163" s="80"/>
    </row>
    <row r="164" spans="2:36">
      <c r="B164" s="80"/>
      <c r="C164" s="80"/>
      <c r="D164" s="80"/>
      <c r="E164" s="80"/>
      <c r="F164" s="80"/>
      <c r="G164" s="80"/>
      <c r="Q164" s="80"/>
      <c r="R164" s="80"/>
      <c r="S164" s="80"/>
      <c r="T164" s="80"/>
      <c r="U164" s="80"/>
      <c r="V164" s="80"/>
      <c r="W164" s="80"/>
      <c r="X164" s="80"/>
      <c r="Y164" s="80"/>
      <c r="Z164" s="80"/>
      <c r="AA164" s="80"/>
      <c r="AB164" s="80"/>
      <c r="AC164" s="80"/>
      <c r="AD164" s="80"/>
      <c r="AE164" s="80"/>
      <c r="AF164" s="80"/>
      <c r="AG164" s="80"/>
      <c r="AH164" s="80"/>
      <c r="AI164" s="80"/>
      <c r="AJ164" s="80"/>
    </row>
    <row r="165" spans="2:36">
      <c r="B165" s="80"/>
      <c r="C165" s="80"/>
      <c r="D165" s="80"/>
      <c r="E165" s="80"/>
      <c r="F165" s="80"/>
      <c r="G165" s="80"/>
      <c r="Q165" s="80"/>
      <c r="R165" s="80"/>
      <c r="S165" s="80"/>
      <c r="T165" s="80"/>
      <c r="U165" s="80"/>
      <c r="V165" s="80"/>
      <c r="W165" s="80"/>
      <c r="X165" s="80"/>
      <c r="Y165" s="80"/>
      <c r="Z165" s="80"/>
      <c r="AA165" s="80"/>
      <c r="AB165" s="80"/>
      <c r="AC165" s="80"/>
      <c r="AD165" s="80"/>
      <c r="AE165" s="80"/>
      <c r="AF165" s="80"/>
      <c r="AG165" s="80"/>
      <c r="AH165" s="80"/>
      <c r="AI165" s="80"/>
      <c r="AJ165" s="80"/>
    </row>
    <row r="166" spans="2:36">
      <c r="B166" s="80"/>
      <c r="C166" s="80"/>
      <c r="D166" s="80"/>
      <c r="E166" s="80"/>
      <c r="F166" s="80"/>
      <c r="G166" s="80"/>
      <c r="Q166" s="80"/>
      <c r="R166" s="80"/>
      <c r="S166" s="80"/>
      <c r="T166" s="80"/>
      <c r="U166" s="80"/>
      <c r="V166" s="80"/>
      <c r="W166" s="80"/>
      <c r="X166" s="80"/>
      <c r="Y166" s="80"/>
      <c r="Z166" s="80"/>
      <c r="AA166" s="80"/>
      <c r="AB166" s="80"/>
      <c r="AC166" s="80"/>
      <c r="AD166" s="80"/>
      <c r="AE166" s="80"/>
      <c r="AF166" s="80"/>
      <c r="AG166" s="80"/>
      <c r="AH166" s="80"/>
      <c r="AI166" s="80"/>
      <c r="AJ166" s="80"/>
    </row>
    <row r="167" spans="2:36">
      <c r="B167" s="80"/>
      <c r="C167" s="80"/>
      <c r="D167" s="80"/>
      <c r="E167" s="80"/>
      <c r="F167" s="80"/>
      <c r="G167" s="80"/>
      <c r="Q167" s="80"/>
      <c r="R167" s="80"/>
      <c r="S167" s="80"/>
      <c r="T167" s="80"/>
      <c r="U167" s="80"/>
      <c r="V167" s="80"/>
      <c r="W167" s="80"/>
      <c r="X167" s="80"/>
      <c r="Y167" s="80"/>
      <c r="Z167" s="80"/>
      <c r="AA167" s="80"/>
      <c r="AB167" s="80"/>
      <c r="AC167" s="80"/>
      <c r="AD167" s="80"/>
      <c r="AE167" s="80"/>
      <c r="AF167" s="80"/>
      <c r="AG167" s="80"/>
      <c r="AH167" s="80"/>
      <c r="AI167" s="80"/>
      <c r="AJ167" s="80"/>
    </row>
    <row r="168" spans="2:36">
      <c r="B168" s="80"/>
      <c r="C168" s="80"/>
      <c r="D168" s="80"/>
      <c r="E168" s="80"/>
      <c r="F168" s="80"/>
      <c r="G168" s="80"/>
      <c r="Q168" s="80"/>
      <c r="R168" s="80"/>
      <c r="S168" s="80"/>
      <c r="T168" s="80"/>
      <c r="U168" s="80"/>
      <c r="V168" s="80"/>
      <c r="W168" s="80"/>
      <c r="X168" s="80"/>
      <c r="Y168" s="80"/>
      <c r="Z168" s="80"/>
      <c r="AA168" s="80"/>
      <c r="AB168" s="80"/>
      <c r="AC168" s="80"/>
      <c r="AD168" s="80"/>
      <c r="AE168" s="80"/>
      <c r="AF168" s="80"/>
      <c r="AG168" s="80"/>
      <c r="AH168" s="80"/>
      <c r="AI168" s="80"/>
      <c r="AJ168" s="80"/>
    </row>
    <row r="169" spans="2:36">
      <c r="B169" s="80"/>
      <c r="C169" s="80"/>
      <c r="D169" s="80"/>
      <c r="E169" s="80"/>
      <c r="F169" s="80"/>
      <c r="G169" s="80"/>
      <c r="Q169" s="80"/>
      <c r="R169" s="80"/>
      <c r="S169" s="80"/>
      <c r="T169" s="80"/>
      <c r="U169" s="80"/>
      <c r="V169" s="80"/>
      <c r="W169" s="80"/>
      <c r="X169" s="80"/>
      <c r="Y169" s="80"/>
      <c r="Z169" s="80"/>
      <c r="AA169" s="80"/>
      <c r="AB169" s="80"/>
      <c r="AC169" s="80"/>
      <c r="AD169" s="80"/>
      <c r="AE169" s="80"/>
      <c r="AF169" s="80"/>
      <c r="AG169" s="80"/>
      <c r="AH169" s="80"/>
      <c r="AI169" s="80"/>
      <c r="AJ169" s="80"/>
    </row>
    <row r="170" spans="2:36">
      <c r="B170" s="80"/>
      <c r="C170" s="80"/>
      <c r="D170" s="80"/>
      <c r="E170" s="80"/>
      <c r="F170" s="80"/>
      <c r="G170" s="80"/>
      <c r="Q170" s="80"/>
      <c r="R170" s="80"/>
      <c r="S170" s="80"/>
      <c r="T170" s="80"/>
      <c r="U170" s="80"/>
      <c r="V170" s="80"/>
      <c r="W170" s="80"/>
      <c r="X170" s="80"/>
      <c r="Y170" s="80"/>
      <c r="Z170" s="80"/>
      <c r="AA170" s="80"/>
      <c r="AB170" s="80"/>
      <c r="AC170" s="80"/>
      <c r="AD170" s="80"/>
      <c r="AE170" s="80"/>
      <c r="AF170" s="80"/>
      <c r="AG170" s="80"/>
      <c r="AH170" s="80"/>
      <c r="AI170" s="80"/>
      <c r="AJ170" s="80"/>
    </row>
    <row r="171" spans="2:36">
      <c r="B171" s="80"/>
      <c r="C171" s="80"/>
      <c r="D171" s="80"/>
      <c r="E171" s="80"/>
      <c r="F171" s="80"/>
      <c r="G171" s="80"/>
      <c r="Q171" s="80"/>
      <c r="R171" s="80"/>
      <c r="S171" s="80"/>
      <c r="T171" s="80"/>
      <c r="U171" s="80"/>
      <c r="V171" s="80"/>
      <c r="W171" s="80"/>
      <c r="X171" s="80"/>
      <c r="Y171" s="80"/>
      <c r="Z171" s="80"/>
      <c r="AA171" s="80"/>
      <c r="AB171" s="80"/>
      <c r="AC171" s="80"/>
      <c r="AD171" s="80"/>
      <c r="AE171" s="80"/>
      <c r="AF171" s="80"/>
      <c r="AG171" s="80"/>
      <c r="AH171" s="80"/>
      <c r="AI171" s="80"/>
      <c r="AJ171" s="80"/>
    </row>
    <row r="172" spans="2:36">
      <c r="B172" s="80"/>
      <c r="C172" s="80"/>
      <c r="D172" s="80"/>
      <c r="E172" s="80"/>
      <c r="F172" s="80"/>
      <c r="G172" s="80"/>
      <c r="Q172" s="80"/>
      <c r="R172" s="80"/>
      <c r="S172" s="80"/>
      <c r="T172" s="80"/>
      <c r="U172" s="80"/>
      <c r="V172" s="80"/>
      <c r="W172" s="80"/>
      <c r="X172" s="80"/>
      <c r="Y172" s="80"/>
      <c r="Z172" s="80"/>
      <c r="AA172" s="80"/>
      <c r="AB172" s="80"/>
      <c r="AC172" s="80"/>
      <c r="AD172" s="80"/>
      <c r="AE172" s="80"/>
      <c r="AF172" s="80"/>
      <c r="AG172" s="80"/>
      <c r="AH172" s="80"/>
      <c r="AI172" s="80"/>
      <c r="AJ172" s="80"/>
    </row>
    <row r="173" spans="2:36">
      <c r="B173" s="80"/>
      <c r="C173" s="80"/>
      <c r="D173" s="80"/>
      <c r="E173" s="80"/>
      <c r="F173" s="80"/>
      <c r="G173" s="80"/>
      <c r="Q173" s="80"/>
      <c r="R173" s="80"/>
      <c r="S173" s="80"/>
      <c r="T173" s="80"/>
      <c r="U173" s="80"/>
      <c r="V173" s="80"/>
      <c r="W173" s="80"/>
      <c r="X173" s="80"/>
      <c r="Y173" s="80"/>
      <c r="Z173" s="80"/>
      <c r="AA173" s="80"/>
      <c r="AB173" s="80"/>
      <c r="AC173" s="80"/>
      <c r="AD173" s="80"/>
      <c r="AE173" s="80"/>
      <c r="AF173" s="80"/>
      <c r="AG173" s="80"/>
      <c r="AH173" s="80"/>
      <c r="AI173" s="80"/>
      <c r="AJ173" s="80"/>
    </row>
    <row r="174" spans="2:36">
      <c r="B174" s="80"/>
      <c r="C174" s="80"/>
      <c r="D174" s="80"/>
      <c r="E174" s="80"/>
      <c r="F174" s="80"/>
      <c r="G174" s="80"/>
      <c r="Q174" s="80"/>
      <c r="R174" s="80"/>
      <c r="S174" s="80"/>
      <c r="T174" s="80"/>
      <c r="U174" s="80"/>
      <c r="V174" s="80"/>
      <c r="W174" s="80"/>
      <c r="X174" s="80"/>
      <c r="Y174" s="80"/>
      <c r="Z174" s="80"/>
      <c r="AA174" s="80"/>
      <c r="AB174" s="80"/>
      <c r="AC174" s="80"/>
      <c r="AD174" s="80"/>
      <c r="AE174" s="80"/>
      <c r="AF174" s="80"/>
      <c r="AG174" s="80"/>
      <c r="AH174" s="80"/>
      <c r="AI174" s="80"/>
      <c r="AJ174" s="80"/>
    </row>
    <row r="175" spans="2:36">
      <c r="B175" s="80"/>
      <c r="C175" s="80"/>
      <c r="D175" s="80"/>
      <c r="E175" s="80"/>
      <c r="F175" s="80"/>
      <c r="G175" s="80"/>
      <c r="Q175" s="80"/>
      <c r="R175" s="80"/>
      <c r="S175" s="80"/>
      <c r="T175" s="80"/>
      <c r="U175" s="80"/>
      <c r="V175" s="80"/>
      <c r="W175" s="80"/>
      <c r="X175" s="80"/>
      <c r="Y175" s="80"/>
      <c r="Z175" s="80"/>
      <c r="AA175" s="80"/>
      <c r="AB175" s="80"/>
      <c r="AC175" s="80"/>
      <c r="AD175" s="80"/>
      <c r="AE175" s="80"/>
      <c r="AF175" s="80"/>
      <c r="AG175" s="80"/>
      <c r="AH175" s="80"/>
      <c r="AI175" s="80"/>
      <c r="AJ175" s="80"/>
    </row>
    <row r="176" spans="2:36">
      <c r="B176" s="80"/>
      <c r="C176" s="80"/>
      <c r="D176" s="80"/>
      <c r="E176" s="80"/>
      <c r="F176" s="80"/>
      <c r="G176" s="80"/>
      <c r="Q176" s="80"/>
      <c r="R176" s="80"/>
      <c r="S176" s="80"/>
      <c r="T176" s="80"/>
      <c r="U176" s="80"/>
      <c r="V176" s="80"/>
      <c r="W176" s="80"/>
      <c r="X176" s="80"/>
      <c r="Y176" s="80"/>
      <c r="Z176" s="80"/>
      <c r="AA176" s="80"/>
      <c r="AB176" s="80"/>
      <c r="AC176" s="80"/>
      <c r="AD176" s="80"/>
      <c r="AE176" s="80"/>
      <c r="AF176" s="80"/>
      <c r="AG176" s="80"/>
      <c r="AH176" s="80"/>
      <c r="AI176" s="80"/>
      <c r="AJ176" s="80"/>
    </row>
    <row r="177" spans="2:36">
      <c r="B177" s="80"/>
      <c r="C177" s="80"/>
      <c r="D177" s="80"/>
      <c r="E177" s="80"/>
      <c r="F177" s="80"/>
      <c r="G177" s="80"/>
      <c r="Q177" s="80"/>
      <c r="R177" s="80"/>
      <c r="S177" s="80"/>
      <c r="T177" s="80"/>
      <c r="U177" s="80"/>
      <c r="V177" s="80"/>
      <c r="W177" s="80"/>
      <c r="X177" s="80"/>
      <c r="Y177" s="80"/>
      <c r="Z177" s="80"/>
      <c r="AA177" s="80"/>
      <c r="AB177" s="80"/>
      <c r="AC177" s="80"/>
      <c r="AD177" s="80"/>
      <c r="AE177" s="80"/>
      <c r="AF177" s="80"/>
      <c r="AG177" s="80"/>
      <c r="AH177" s="80"/>
      <c r="AI177" s="80"/>
      <c r="AJ177" s="80"/>
    </row>
    <row r="178" spans="2:36">
      <c r="B178" s="80"/>
      <c r="C178" s="80"/>
      <c r="D178" s="80"/>
      <c r="E178" s="80"/>
      <c r="F178" s="80"/>
      <c r="G178" s="80"/>
      <c r="Q178" s="80"/>
      <c r="R178" s="80"/>
      <c r="S178" s="80"/>
      <c r="T178" s="80"/>
      <c r="U178" s="80"/>
      <c r="V178" s="80"/>
      <c r="W178" s="80"/>
      <c r="X178" s="80"/>
      <c r="Y178" s="80"/>
      <c r="Z178" s="80"/>
      <c r="AA178" s="80"/>
    </row>
    <row r="179" spans="2:36">
      <c r="B179" s="80"/>
      <c r="C179" s="80"/>
      <c r="D179" s="80"/>
      <c r="E179" s="80"/>
      <c r="F179" s="80"/>
      <c r="G179" s="80"/>
    </row>
    <row r="180" spans="2:36">
      <c r="B180" s="80"/>
      <c r="C180" s="80"/>
      <c r="D180" s="80"/>
      <c r="E180" s="80"/>
      <c r="F180" s="80"/>
      <c r="G180" s="80"/>
    </row>
    <row r="181" spans="2:36">
      <c r="B181" s="80"/>
      <c r="C181" s="80"/>
      <c r="D181" s="80"/>
      <c r="E181" s="80"/>
      <c r="F181" s="80"/>
      <c r="G181" s="80"/>
    </row>
    <row r="182" spans="2:36">
      <c r="B182" s="80"/>
      <c r="C182" s="80"/>
      <c r="D182" s="80"/>
      <c r="E182" s="80"/>
      <c r="F182" s="80"/>
      <c r="G182" s="80"/>
    </row>
  </sheetData>
  <sheetProtection algorithmName="SHA-512" hashValue="CwSjmel64oBsF6keu7Fd5AoCJEeYSkaY6DC4A89CJCN4z4iPAjZSaddoS0R8CPTzK7ZmXotN/rhNEIzkSvzGBA==" saltValue="xAiCm9e25gqOOZ38BSQ4Bg==" spinCount="100000" sheet="1" objects="1" scenarios="1"/>
  <customSheetViews>
    <customSheetView guid="{52A26A5D-FD00-480B-943F-DB06B537D6D8}" scale="75">
      <selection activeCell="G49" sqref="G49"/>
      <pageMargins left="0.7" right="0.7" top="0.75" bottom="0.75" header="0.3" footer="0.3"/>
      <pageSetup orientation="portrait" r:id="rId1"/>
    </customSheetView>
    <customSheetView guid="{EF22FA0B-F747-41C1-93DE-56651BBC6020}" scale="76" hiddenColumns="1" topLeftCell="A13">
      <selection activeCell="H63" sqref="H63"/>
      <pageMargins left="0.7" right="0.7" top="0.75" bottom="0.75" header="0.3" footer="0.3"/>
      <pageSetup orientation="portrait" r:id="rId2"/>
    </customSheetView>
  </customSheetViews>
  <mergeCells count="2">
    <mergeCell ref="B1:F1"/>
    <mergeCell ref="B33:E33"/>
  </mergeCells>
  <pageMargins left="0.7" right="0.7" top="0.75" bottom="0.75" header="0.3" footer="0.3"/>
  <pageSetup orientation="portrait" r:id="rId3"/>
  <ignoredErrors>
    <ignoredError sqref="D46 D48 D51 D53 D59 D35 D62 D79 D83 D88:D89 D116 D71" formula="1"/>
  </ignoredErrors>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C2:N91"/>
  <sheetViews>
    <sheetView topLeftCell="B2" zoomScale="75" zoomScaleNormal="75" workbookViewId="0">
      <pane xSplit="1" topLeftCell="C1" activePane="topRight" state="frozen"/>
      <selection activeCell="B1" sqref="B1"/>
      <selection pane="topRight" activeCell="J11" sqref="J11"/>
    </sheetView>
  </sheetViews>
  <sheetFormatPr defaultRowHeight="15" outlineLevelRow="1"/>
  <cols>
    <col min="1" max="2" width="5" customWidth="1"/>
    <col min="3" max="3" width="59.42578125" customWidth="1"/>
    <col min="4" max="5" width="15.140625" customWidth="1"/>
    <col min="6" max="6" width="9" customWidth="1"/>
    <col min="7" max="7" width="16.28515625" customWidth="1"/>
    <col min="8" max="8" width="14.5703125" customWidth="1"/>
    <col min="9" max="9" width="9.140625" customWidth="1"/>
    <col min="11" max="11" width="13.5703125" customWidth="1"/>
    <col min="12" max="12" width="15.42578125" customWidth="1"/>
  </cols>
  <sheetData>
    <row r="2" spans="3:14" ht="15.2" customHeight="1" thickBot="1"/>
    <row r="3" spans="3:14" ht="42" customHeight="1">
      <c r="C3" s="434" t="s">
        <v>515</v>
      </c>
      <c r="D3" s="435"/>
      <c r="E3" s="435"/>
      <c r="F3" s="435"/>
      <c r="G3" s="435"/>
      <c r="H3" s="446"/>
    </row>
    <row r="4" spans="3:14" s="6" customFormat="1" ht="65.25" customHeight="1">
      <c r="C4" s="123"/>
      <c r="D4" s="41" t="s">
        <v>516</v>
      </c>
      <c r="E4" s="41" t="s">
        <v>799</v>
      </c>
      <c r="F4" s="43"/>
      <c r="G4" s="42" t="s">
        <v>14</v>
      </c>
      <c r="H4" s="41" t="s">
        <v>578</v>
      </c>
      <c r="I4"/>
      <c r="J4"/>
      <c r="K4" s="447" t="s">
        <v>683</v>
      </c>
      <c r="L4" s="447"/>
      <c r="M4" s="447"/>
      <c r="N4" s="447"/>
    </row>
    <row r="5" spans="3:14" s="6" customFormat="1">
      <c r="C5" s="124" t="s">
        <v>513</v>
      </c>
      <c r="D5" s="176">
        <v>100</v>
      </c>
      <c r="E5" s="176">
        <v>38.5</v>
      </c>
      <c r="F5" s="178"/>
      <c r="G5" s="181"/>
      <c r="H5" s="181"/>
      <c r="I5"/>
      <c r="K5" t="str">
        <f>Analysis!$E$34</f>
        <v/>
      </c>
      <c r="L5" t="s">
        <v>1022</v>
      </c>
    </row>
    <row r="6" spans="3:14" s="6" customFormat="1" outlineLevel="1">
      <c r="C6" s="124" t="s">
        <v>481</v>
      </c>
      <c r="D6" s="176">
        <v>10</v>
      </c>
      <c r="E6" s="176">
        <v>6</v>
      </c>
      <c r="F6" s="178"/>
      <c r="G6" s="177"/>
      <c r="H6" s="177"/>
      <c r="I6"/>
      <c r="J6" s="6" t="s">
        <v>481</v>
      </c>
      <c r="K6" s="6">
        <f>Analysis!E36</f>
        <v>0</v>
      </c>
      <c r="L6" s="6" t="str">
        <f>IF(Analysis!D36="","",6)</f>
        <v/>
      </c>
    </row>
    <row r="7" spans="3:14" s="6" customFormat="1" outlineLevel="1">
      <c r="C7" s="135" t="s">
        <v>680</v>
      </c>
      <c r="D7" s="179">
        <v>4.5</v>
      </c>
      <c r="E7" s="179">
        <v>3</v>
      </c>
      <c r="F7" s="180"/>
      <c r="G7" s="179"/>
      <c r="H7" s="179"/>
      <c r="I7"/>
      <c r="J7" s="6" t="s">
        <v>482</v>
      </c>
      <c r="K7" s="6">
        <f>Analysis!E50</f>
        <v>0</v>
      </c>
      <c r="L7" s="6" t="str">
        <f>IF(Analysis!D50="","",6.5)</f>
        <v/>
      </c>
    </row>
    <row r="8" spans="3:14" s="6" customFormat="1" outlineLevel="1">
      <c r="C8" s="136" t="s">
        <v>599</v>
      </c>
      <c r="D8" s="20">
        <v>2</v>
      </c>
      <c r="E8" s="20">
        <v>1.5</v>
      </c>
      <c r="F8" s="180"/>
      <c r="G8" s="175"/>
      <c r="H8" s="175"/>
      <c r="I8"/>
      <c r="J8" t="s">
        <v>487</v>
      </c>
      <c r="K8" s="6">
        <f>Analysis!E62</f>
        <v>0</v>
      </c>
      <c r="L8" s="6" t="str">
        <f>IF(Analysis!D62="","",10.5)</f>
        <v/>
      </c>
    </row>
    <row r="9" spans="3:14" s="6" customFormat="1" outlineLevel="1">
      <c r="C9" s="136" t="s">
        <v>597</v>
      </c>
      <c r="D9" s="20">
        <v>1</v>
      </c>
      <c r="E9" s="20">
        <v>0.5</v>
      </c>
      <c r="F9" s="180"/>
      <c r="G9" s="175"/>
      <c r="H9" s="175"/>
      <c r="I9"/>
      <c r="J9" s="6" t="s">
        <v>764</v>
      </c>
      <c r="K9" s="6">
        <f>Analysis!E79</f>
        <v>0</v>
      </c>
      <c r="L9" s="6" t="str">
        <f>IF(Analysis!D79="","",9.5)</f>
        <v/>
      </c>
    </row>
    <row r="10" spans="3:14" s="6" customFormat="1" outlineLevel="1">
      <c r="C10" s="136" t="s">
        <v>451</v>
      </c>
      <c r="D10" s="20">
        <v>0.5</v>
      </c>
      <c r="E10" s="20">
        <v>0.5</v>
      </c>
      <c r="F10" s="180"/>
      <c r="G10" s="175"/>
      <c r="H10" s="175"/>
      <c r="I10"/>
      <c r="J10" s="6" t="s">
        <v>512</v>
      </c>
      <c r="K10" s="6">
        <f>Analysis!E95</f>
        <v>0</v>
      </c>
      <c r="L10" s="6" t="str">
        <f>IF(Analysis!D95="","",10.5)</f>
        <v/>
      </c>
    </row>
    <row r="11" spans="3:14" s="6" customFormat="1">
      <c r="C11" s="136" t="s">
        <v>598</v>
      </c>
      <c r="D11" s="20">
        <v>1</v>
      </c>
      <c r="E11" s="20">
        <v>0</v>
      </c>
      <c r="F11" s="180"/>
      <c r="G11" s="175"/>
      <c r="H11" s="175"/>
      <c r="I11"/>
      <c r="J11" s="6" t="s">
        <v>684</v>
      </c>
      <c r="K11" s="13">
        <f>Analysis!E35</f>
        <v>0</v>
      </c>
      <c r="L11" s="6" t="str">
        <f>IF(Analysis!D35="","",38.5)</f>
        <v/>
      </c>
    </row>
    <row r="12" spans="3:14" s="6" customFormat="1" outlineLevel="1">
      <c r="C12" s="135" t="s">
        <v>495</v>
      </c>
      <c r="D12" s="24">
        <v>3</v>
      </c>
      <c r="E12" s="24">
        <v>1.5</v>
      </c>
      <c r="F12" s="180"/>
      <c r="G12" s="179"/>
      <c r="H12" s="179"/>
      <c r="I12"/>
      <c r="J12"/>
    </row>
    <row r="13" spans="3:14" s="6" customFormat="1" outlineLevel="1">
      <c r="C13" s="136" t="s">
        <v>474</v>
      </c>
      <c r="D13" s="20">
        <v>1</v>
      </c>
      <c r="E13" s="20">
        <v>0.5</v>
      </c>
      <c r="F13" s="180"/>
      <c r="G13" s="175"/>
      <c r="H13" s="175"/>
      <c r="I13"/>
      <c r="J13"/>
    </row>
    <row r="14" spans="3:14" s="6" customFormat="1">
      <c r="C14" s="136" t="s">
        <v>475</v>
      </c>
      <c r="D14" s="20">
        <v>1</v>
      </c>
      <c r="E14" s="20">
        <v>0.5</v>
      </c>
      <c r="F14" s="180"/>
      <c r="G14" s="175"/>
      <c r="H14" s="175"/>
      <c r="I14"/>
      <c r="J14"/>
    </row>
    <row r="15" spans="3:14" s="6" customFormat="1" outlineLevel="1">
      <c r="C15" s="136" t="s">
        <v>476</v>
      </c>
      <c r="D15" s="20">
        <v>1</v>
      </c>
      <c r="E15" s="20">
        <v>0.5</v>
      </c>
      <c r="F15" s="180"/>
      <c r="G15" s="175"/>
      <c r="H15" s="175"/>
      <c r="I15"/>
      <c r="J15"/>
    </row>
    <row r="16" spans="3:14" s="6" customFormat="1" outlineLevel="1">
      <c r="C16" s="135" t="s">
        <v>473</v>
      </c>
      <c r="D16" s="24">
        <v>2.5</v>
      </c>
      <c r="E16" s="24">
        <v>1.5</v>
      </c>
      <c r="F16" s="180"/>
      <c r="G16" s="179"/>
      <c r="H16" s="179"/>
      <c r="I16"/>
      <c r="J16"/>
    </row>
    <row r="17" spans="3:10" s="6" customFormat="1" outlineLevel="1">
      <c r="C17" s="136" t="s">
        <v>477</v>
      </c>
      <c r="D17" s="20">
        <v>0.5</v>
      </c>
      <c r="E17" s="20">
        <v>0.5</v>
      </c>
      <c r="F17" s="180"/>
      <c r="G17" s="175"/>
      <c r="H17" s="175"/>
      <c r="I17"/>
      <c r="J17"/>
    </row>
    <row r="18" spans="3:10" s="6" customFormat="1" outlineLevel="1">
      <c r="C18" s="136" t="s">
        <v>478</v>
      </c>
      <c r="D18" s="20">
        <v>1</v>
      </c>
      <c r="E18" s="20">
        <v>1</v>
      </c>
      <c r="F18" s="180"/>
      <c r="G18" s="175"/>
      <c r="H18" s="175"/>
      <c r="I18"/>
      <c r="J18"/>
    </row>
    <row r="19" spans="3:10" s="6" customFormat="1" outlineLevel="1">
      <c r="C19" s="136" t="s">
        <v>479</v>
      </c>
      <c r="D19" s="20">
        <v>1</v>
      </c>
      <c r="E19" s="20">
        <v>0.5</v>
      </c>
      <c r="F19" s="180"/>
      <c r="G19" s="175"/>
      <c r="H19" s="175"/>
      <c r="I19"/>
      <c r="J19"/>
    </row>
    <row r="20" spans="3:10" s="6" customFormat="1" outlineLevel="1">
      <c r="C20" s="125" t="s">
        <v>482</v>
      </c>
      <c r="D20" s="23">
        <v>12</v>
      </c>
      <c r="E20" s="23">
        <v>6.5</v>
      </c>
      <c r="F20" s="180"/>
      <c r="G20" s="181"/>
      <c r="H20" s="181"/>
      <c r="I20"/>
      <c r="J20"/>
    </row>
    <row r="21" spans="3:10" s="6" customFormat="1" outlineLevel="1">
      <c r="C21" s="135" t="s">
        <v>680</v>
      </c>
      <c r="D21" s="24">
        <v>7.5</v>
      </c>
      <c r="E21" s="24">
        <v>3.5</v>
      </c>
      <c r="F21" s="180"/>
      <c r="G21" s="179"/>
      <c r="H21" s="179"/>
      <c r="I21"/>
      <c r="J21"/>
    </row>
    <row r="22" spans="3:10" s="6" customFormat="1" outlineLevel="1">
      <c r="C22" s="136" t="s">
        <v>469</v>
      </c>
      <c r="D22" s="20">
        <v>1.5</v>
      </c>
      <c r="E22" s="20">
        <v>0.5</v>
      </c>
      <c r="F22" s="180"/>
      <c r="G22" s="175"/>
      <c r="H22" s="175"/>
      <c r="I22"/>
      <c r="J22"/>
    </row>
    <row r="23" spans="3:10" s="6" customFormat="1">
      <c r="C23" s="136" t="s">
        <v>681</v>
      </c>
      <c r="D23" s="20">
        <v>1</v>
      </c>
      <c r="E23" s="20">
        <v>1</v>
      </c>
      <c r="F23" s="180"/>
      <c r="G23" s="175"/>
      <c r="H23" s="175"/>
      <c r="I23"/>
      <c r="J23"/>
    </row>
    <row r="24" spans="3:10" s="6" customFormat="1">
      <c r="C24" s="136" t="s">
        <v>529</v>
      </c>
      <c r="D24" s="20">
        <v>2</v>
      </c>
      <c r="E24" s="20">
        <v>0</v>
      </c>
      <c r="F24" s="180"/>
      <c r="G24" s="175"/>
      <c r="H24" s="175"/>
      <c r="I24"/>
      <c r="J24"/>
    </row>
    <row r="25" spans="3:10" s="6" customFormat="1" outlineLevel="1">
      <c r="C25" s="136" t="s">
        <v>540</v>
      </c>
      <c r="D25" s="20">
        <v>2</v>
      </c>
      <c r="E25" s="20">
        <v>1</v>
      </c>
      <c r="F25" s="180"/>
      <c r="G25" s="175"/>
      <c r="H25" s="175"/>
      <c r="I25"/>
      <c r="J25"/>
    </row>
    <row r="26" spans="3:10" s="6" customFormat="1" outlineLevel="1">
      <c r="C26" s="136" t="s">
        <v>451</v>
      </c>
      <c r="D26" s="20">
        <v>1</v>
      </c>
      <c r="E26" s="20">
        <v>1</v>
      </c>
      <c r="F26" s="180"/>
      <c r="G26" s="175"/>
      <c r="H26" s="175"/>
      <c r="I26"/>
      <c r="J26"/>
    </row>
    <row r="27" spans="3:10" s="6" customFormat="1">
      <c r="C27" s="135" t="s">
        <v>818</v>
      </c>
      <c r="D27" s="24">
        <v>2.5</v>
      </c>
      <c r="E27" s="24">
        <v>0</v>
      </c>
      <c r="F27" s="180"/>
      <c r="G27" s="179"/>
      <c r="H27" s="179"/>
      <c r="I27"/>
      <c r="J27"/>
    </row>
    <row r="28" spans="3:10" s="6" customFormat="1" outlineLevel="1">
      <c r="C28" s="136" t="s">
        <v>544</v>
      </c>
      <c r="D28" s="20">
        <v>2</v>
      </c>
      <c r="E28" s="20">
        <v>0</v>
      </c>
      <c r="F28" s="180"/>
      <c r="G28" s="175"/>
      <c r="H28" s="175"/>
      <c r="I28"/>
      <c r="J28"/>
    </row>
    <row r="29" spans="3:10" s="6" customFormat="1">
      <c r="C29" s="135" t="s">
        <v>470</v>
      </c>
      <c r="D29" s="24">
        <v>2.5</v>
      </c>
      <c r="E29" s="24">
        <v>1.5</v>
      </c>
      <c r="F29" s="180"/>
      <c r="G29" s="179"/>
      <c r="H29" s="179"/>
      <c r="I29"/>
      <c r="J29"/>
    </row>
    <row r="30" spans="3:10" s="6" customFormat="1" outlineLevel="1">
      <c r="C30" s="136" t="s">
        <v>483</v>
      </c>
      <c r="D30" s="20">
        <v>0.5</v>
      </c>
      <c r="E30" s="20">
        <v>0.5</v>
      </c>
      <c r="F30" s="180"/>
      <c r="G30" s="175"/>
      <c r="H30" s="175"/>
      <c r="I30"/>
      <c r="J30"/>
    </row>
    <row r="31" spans="3:10" s="6" customFormat="1" outlineLevel="1">
      <c r="C31" s="136" t="s">
        <v>453</v>
      </c>
      <c r="D31" s="20">
        <v>2</v>
      </c>
      <c r="E31" s="20">
        <v>1</v>
      </c>
      <c r="F31" s="180"/>
      <c r="G31" s="175"/>
      <c r="H31" s="175"/>
      <c r="I31"/>
      <c r="J31"/>
    </row>
    <row r="32" spans="3:10" s="6" customFormat="1" outlineLevel="1">
      <c r="C32" s="125" t="s">
        <v>487</v>
      </c>
      <c r="D32" s="23">
        <v>28</v>
      </c>
      <c r="E32" s="23">
        <v>10.5</v>
      </c>
      <c r="F32" s="180"/>
      <c r="G32" s="181"/>
      <c r="H32" s="181"/>
      <c r="I32"/>
      <c r="J32"/>
    </row>
    <row r="33" spans="3:10" s="6" customFormat="1" outlineLevel="1">
      <c r="C33" s="135" t="s">
        <v>484</v>
      </c>
      <c r="D33" s="25">
        <v>8</v>
      </c>
      <c r="E33" s="25">
        <v>5.5</v>
      </c>
      <c r="F33" s="180"/>
      <c r="G33" s="179"/>
      <c r="H33" s="179"/>
      <c r="I33"/>
      <c r="J33"/>
    </row>
    <row r="34" spans="3:10" s="6" customFormat="1">
      <c r="C34" s="136" t="s">
        <v>488</v>
      </c>
      <c r="D34" s="20">
        <v>4</v>
      </c>
      <c r="E34" s="20">
        <v>2</v>
      </c>
      <c r="F34" s="180"/>
      <c r="G34" s="175"/>
      <c r="H34" s="175"/>
      <c r="I34"/>
      <c r="J34"/>
    </row>
    <row r="35" spans="3:10" s="6" customFormat="1">
      <c r="C35" s="136" t="s">
        <v>490</v>
      </c>
      <c r="D35" s="20">
        <v>4</v>
      </c>
      <c r="E35" s="20">
        <v>3</v>
      </c>
      <c r="F35" s="180"/>
      <c r="G35" s="175"/>
      <c r="H35" s="175"/>
      <c r="I35"/>
      <c r="J35"/>
    </row>
    <row r="36" spans="3:10" s="6" customFormat="1" outlineLevel="1">
      <c r="C36" s="135" t="s">
        <v>485</v>
      </c>
      <c r="D36" s="24">
        <v>6</v>
      </c>
      <c r="E36" s="24">
        <v>2</v>
      </c>
      <c r="F36" s="180"/>
      <c r="G36" s="179"/>
      <c r="H36" s="179"/>
      <c r="I36"/>
      <c r="J36"/>
    </row>
    <row r="37" spans="3:10" s="6" customFormat="1" outlineLevel="1">
      <c r="C37" s="137" t="s">
        <v>580</v>
      </c>
      <c r="D37" s="20">
        <v>1</v>
      </c>
      <c r="E37" s="20">
        <v>0</v>
      </c>
      <c r="F37" s="180"/>
      <c r="G37" s="175"/>
      <c r="H37" s="175"/>
      <c r="I37"/>
      <c r="J37"/>
    </row>
    <row r="38" spans="3:10" s="6" customFormat="1" outlineLevel="1">
      <c r="C38" s="137" t="s">
        <v>471</v>
      </c>
      <c r="D38" s="20">
        <v>2</v>
      </c>
      <c r="E38" s="20">
        <v>2</v>
      </c>
      <c r="F38" s="180"/>
      <c r="G38" s="175"/>
      <c r="H38" s="175"/>
      <c r="I38"/>
      <c r="J38"/>
    </row>
    <row r="39" spans="3:10" s="6" customFormat="1">
      <c r="C39" s="137" t="s">
        <v>472</v>
      </c>
      <c r="D39" s="20">
        <v>1</v>
      </c>
      <c r="E39" s="20">
        <v>1</v>
      </c>
      <c r="F39" s="180"/>
      <c r="G39" s="175"/>
      <c r="H39" s="175"/>
      <c r="I39"/>
      <c r="J39"/>
    </row>
    <row r="40" spans="3:10" s="6" customFormat="1" outlineLevel="1">
      <c r="C40" s="137" t="s">
        <v>579</v>
      </c>
      <c r="D40" s="20">
        <v>2</v>
      </c>
      <c r="E40" s="20">
        <v>0</v>
      </c>
      <c r="F40" s="180"/>
      <c r="G40" s="175"/>
      <c r="H40" s="175"/>
      <c r="I40"/>
      <c r="J40"/>
    </row>
    <row r="41" spans="3:10" s="6" customFormat="1" outlineLevel="1">
      <c r="C41" s="135" t="s">
        <v>486</v>
      </c>
      <c r="D41" s="26">
        <v>8</v>
      </c>
      <c r="E41" s="26">
        <v>2</v>
      </c>
      <c r="F41" s="180"/>
      <c r="G41" s="179"/>
      <c r="H41" s="179"/>
      <c r="I41"/>
      <c r="J41"/>
    </row>
    <row r="42" spans="3:10" s="6" customFormat="1" outlineLevel="1">
      <c r="C42" s="136" t="s">
        <v>392</v>
      </c>
      <c r="D42" s="20">
        <v>1</v>
      </c>
      <c r="E42" s="20">
        <v>0</v>
      </c>
      <c r="F42" s="180"/>
      <c r="G42" s="175"/>
      <c r="H42" s="175"/>
      <c r="I42"/>
      <c r="J42"/>
    </row>
    <row r="43" spans="3:10" s="6" customFormat="1" outlineLevel="1">
      <c r="C43" s="136" t="s">
        <v>528</v>
      </c>
      <c r="D43" s="20">
        <v>2</v>
      </c>
      <c r="E43" s="20">
        <v>0</v>
      </c>
      <c r="F43" s="180"/>
      <c r="G43" s="175"/>
      <c r="H43" s="175"/>
      <c r="I43"/>
      <c r="J43"/>
    </row>
    <row r="44" spans="3:10" s="6" customFormat="1">
      <c r="C44" s="136" t="s">
        <v>394</v>
      </c>
      <c r="D44" s="20">
        <v>2</v>
      </c>
      <c r="E44" s="20">
        <v>0</v>
      </c>
      <c r="F44" s="180"/>
      <c r="G44" s="175"/>
      <c r="H44" s="175"/>
      <c r="I44"/>
      <c r="J44"/>
    </row>
    <row r="45" spans="3:10" s="6" customFormat="1">
      <c r="C45" s="136" t="s">
        <v>393</v>
      </c>
      <c r="D45" s="20">
        <v>3</v>
      </c>
      <c r="E45" s="20">
        <v>1.5</v>
      </c>
      <c r="F45" s="180"/>
      <c r="G45" s="175"/>
      <c r="H45" s="175"/>
      <c r="I45"/>
      <c r="J45"/>
    </row>
    <row r="46" spans="3:10" s="6" customFormat="1" outlineLevel="1">
      <c r="C46" s="135" t="s">
        <v>497</v>
      </c>
      <c r="D46" s="24">
        <v>6</v>
      </c>
      <c r="E46" s="24">
        <v>0.5</v>
      </c>
      <c r="F46" s="180"/>
      <c r="G46" s="179"/>
      <c r="H46" s="179"/>
      <c r="I46"/>
      <c r="J46"/>
    </row>
    <row r="47" spans="3:10" s="6" customFormat="1" outlineLevel="1">
      <c r="C47" s="136" t="s">
        <v>517</v>
      </c>
      <c r="D47" s="20">
        <v>3</v>
      </c>
      <c r="E47" s="20">
        <v>0</v>
      </c>
      <c r="F47" s="180"/>
      <c r="G47" s="175"/>
      <c r="H47" s="175"/>
      <c r="I47"/>
      <c r="J47"/>
    </row>
    <row r="48" spans="3:10" s="6" customFormat="1" outlineLevel="1">
      <c r="C48" s="136" t="s">
        <v>518</v>
      </c>
      <c r="D48" s="20">
        <v>3</v>
      </c>
      <c r="E48" s="20">
        <v>0.5</v>
      </c>
      <c r="F48" s="180"/>
      <c r="G48" s="175"/>
      <c r="H48" s="175"/>
      <c r="I48"/>
      <c r="J48"/>
    </row>
    <row r="49" spans="3:10" s="6" customFormat="1" outlineLevel="1">
      <c r="C49" s="125" t="s">
        <v>514</v>
      </c>
      <c r="D49" s="23">
        <v>20</v>
      </c>
      <c r="E49" s="23">
        <v>9.5</v>
      </c>
      <c r="F49" s="180"/>
      <c r="G49" s="181"/>
      <c r="H49" s="181"/>
      <c r="I49"/>
      <c r="J49"/>
    </row>
    <row r="50" spans="3:10" s="6" customFormat="1">
      <c r="C50" s="135" t="s">
        <v>537</v>
      </c>
      <c r="D50" s="24">
        <v>9</v>
      </c>
      <c r="E50" s="24">
        <v>3.5</v>
      </c>
      <c r="F50" s="180"/>
      <c r="G50" s="179"/>
      <c r="H50" s="179"/>
      <c r="I50"/>
      <c r="J50"/>
    </row>
    <row r="51" spans="3:10" s="6" customFormat="1" outlineLevel="1">
      <c r="C51" s="136" t="s">
        <v>464</v>
      </c>
      <c r="D51" s="20">
        <v>4.5</v>
      </c>
      <c r="E51" s="20">
        <v>2</v>
      </c>
      <c r="F51" s="180"/>
      <c r="G51" s="175"/>
      <c r="H51" s="175"/>
      <c r="I51"/>
      <c r="J51"/>
    </row>
    <row r="52" spans="3:10" s="6" customFormat="1" outlineLevel="1">
      <c r="C52" s="136" t="s">
        <v>463</v>
      </c>
      <c r="D52" s="20">
        <v>4.5</v>
      </c>
      <c r="E52" s="20">
        <v>1</v>
      </c>
      <c r="F52" s="180"/>
      <c r="G52" s="175"/>
      <c r="H52" s="175"/>
      <c r="I52"/>
      <c r="J52"/>
    </row>
    <row r="53" spans="3:10" s="6" customFormat="1" outlineLevel="1">
      <c r="C53" s="135" t="s">
        <v>581</v>
      </c>
      <c r="D53" s="24">
        <v>4</v>
      </c>
      <c r="E53" s="24">
        <v>2</v>
      </c>
      <c r="F53" s="180"/>
      <c r="G53" s="179"/>
      <c r="H53" s="179"/>
      <c r="I53"/>
      <c r="J53"/>
    </row>
    <row r="54" spans="3:10" s="6" customFormat="1" outlineLevel="1">
      <c r="C54" s="136" t="s">
        <v>571</v>
      </c>
      <c r="D54" s="20">
        <v>2</v>
      </c>
      <c r="E54" s="20">
        <v>1</v>
      </c>
      <c r="F54" s="180"/>
      <c r="G54" s="175"/>
      <c r="H54" s="175"/>
      <c r="I54"/>
      <c r="J54"/>
    </row>
    <row r="55" spans="3:10" s="6" customFormat="1">
      <c r="C55" s="136" t="s">
        <v>572</v>
      </c>
      <c r="D55" s="20">
        <v>2</v>
      </c>
      <c r="E55" s="20">
        <v>2</v>
      </c>
      <c r="F55" s="180"/>
      <c r="G55" s="175"/>
      <c r="H55" s="175"/>
      <c r="I55"/>
      <c r="J55"/>
    </row>
    <row r="56" spans="3:10" s="6" customFormat="1">
      <c r="C56" s="135" t="s">
        <v>535</v>
      </c>
      <c r="D56" s="24">
        <v>2</v>
      </c>
      <c r="E56" s="24">
        <v>1</v>
      </c>
      <c r="F56" s="180"/>
      <c r="G56" s="179"/>
      <c r="H56" s="179"/>
      <c r="I56"/>
      <c r="J56"/>
    </row>
    <row r="57" spans="3:10" s="6" customFormat="1" outlineLevel="1">
      <c r="C57" s="136" t="s">
        <v>461</v>
      </c>
      <c r="D57" s="20">
        <v>0.5</v>
      </c>
      <c r="E57" s="20">
        <v>0</v>
      </c>
      <c r="F57" s="180"/>
      <c r="G57" s="175"/>
      <c r="H57" s="175"/>
      <c r="I57"/>
      <c r="J57"/>
    </row>
    <row r="58" spans="3:10" s="6" customFormat="1" outlineLevel="1">
      <c r="C58" s="136" t="s">
        <v>523</v>
      </c>
      <c r="D58" s="20">
        <v>0.5</v>
      </c>
      <c r="E58" s="20">
        <v>0.5</v>
      </c>
      <c r="F58" s="180"/>
      <c r="G58" s="175"/>
      <c r="H58" s="175"/>
      <c r="I58"/>
      <c r="J58"/>
    </row>
    <row r="59" spans="3:10" s="6" customFormat="1" outlineLevel="1">
      <c r="C59" s="136" t="s">
        <v>524</v>
      </c>
      <c r="D59" s="20">
        <v>0.5</v>
      </c>
      <c r="E59" s="20">
        <v>0</v>
      </c>
      <c r="F59" s="180"/>
      <c r="G59" s="175"/>
      <c r="H59" s="175"/>
      <c r="I59"/>
      <c r="J59"/>
    </row>
    <row r="60" spans="3:10" s="6" customFormat="1" outlineLevel="1">
      <c r="C60" s="136" t="s">
        <v>522</v>
      </c>
      <c r="D60" s="20">
        <v>0.5</v>
      </c>
      <c r="E60" s="20">
        <v>0.5</v>
      </c>
      <c r="F60" s="180"/>
      <c r="G60" s="175"/>
      <c r="H60" s="175"/>
      <c r="I60"/>
      <c r="J60"/>
    </row>
    <row r="61" spans="3:10" s="6" customFormat="1">
      <c r="C61" s="135" t="s">
        <v>462</v>
      </c>
      <c r="D61" s="24">
        <v>5</v>
      </c>
      <c r="E61" s="24">
        <v>3</v>
      </c>
      <c r="F61" s="180"/>
      <c r="G61" s="179"/>
      <c r="H61" s="179"/>
      <c r="I61"/>
      <c r="J61"/>
    </row>
    <row r="62" spans="3:10" s="6" customFormat="1" outlineLevel="1">
      <c r="C62" s="136" t="s">
        <v>592</v>
      </c>
      <c r="D62" s="20">
        <v>1</v>
      </c>
      <c r="E62" s="20">
        <v>0</v>
      </c>
      <c r="F62" s="180"/>
      <c r="G62" s="175"/>
      <c r="H62" s="175"/>
      <c r="I62"/>
      <c r="J62"/>
    </row>
    <row r="63" spans="3:10" s="6" customFormat="1">
      <c r="C63" s="136" t="s">
        <v>588</v>
      </c>
      <c r="D63" s="20">
        <v>2</v>
      </c>
      <c r="E63" s="20">
        <v>1.5</v>
      </c>
      <c r="F63" s="180"/>
      <c r="G63" s="175"/>
      <c r="H63" s="175"/>
      <c r="I63"/>
      <c r="J63"/>
    </row>
    <row r="64" spans="3:10" s="6" customFormat="1" outlineLevel="1">
      <c r="C64" s="136" t="s">
        <v>590</v>
      </c>
      <c r="D64" s="20">
        <v>2</v>
      </c>
      <c r="E64" s="20">
        <v>1.5</v>
      </c>
      <c r="F64" s="180"/>
      <c r="G64" s="175"/>
      <c r="H64" s="175"/>
      <c r="I64"/>
      <c r="J64"/>
    </row>
    <row r="65" spans="3:10" s="6" customFormat="1" outlineLevel="1">
      <c r="C65" s="125" t="s">
        <v>512</v>
      </c>
      <c r="D65" s="23">
        <v>30</v>
      </c>
      <c r="E65" s="23">
        <v>10.5</v>
      </c>
      <c r="F65" s="180"/>
      <c r="G65" s="181"/>
      <c r="H65" s="181"/>
      <c r="I65"/>
      <c r="J65"/>
    </row>
    <row r="66" spans="3:10" s="6" customFormat="1" outlineLevel="1">
      <c r="C66" s="135" t="s">
        <v>582</v>
      </c>
      <c r="D66" s="24">
        <v>4</v>
      </c>
      <c r="E66" s="24">
        <v>2</v>
      </c>
      <c r="F66" s="180"/>
      <c r="G66" s="24"/>
      <c r="H66" s="24"/>
      <c r="I66"/>
      <c r="J66"/>
    </row>
    <row r="67" spans="3:10" s="6" customFormat="1" outlineLevel="1">
      <c r="C67" s="136" t="s">
        <v>583</v>
      </c>
      <c r="D67" s="20">
        <v>4</v>
      </c>
      <c r="E67" s="20">
        <v>2</v>
      </c>
      <c r="F67" s="180"/>
      <c r="G67" s="20"/>
      <c r="H67" s="20"/>
      <c r="I67"/>
      <c r="J67"/>
    </row>
    <row r="68" spans="3:10" s="6" customFormat="1">
      <c r="C68" s="135" t="s">
        <v>466</v>
      </c>
      <c r="D68" s="24">
        <v>6</v>
      </c>
      <c r="E68" s="24">
        <v>2.5</v>
      </c>
      <c r="F68" s="180"/>
      <c r="G68" s="24"/>
      <c r="H68" s="24"/>
      <c r="I68"/>
      <c r="J68"/>
    </row>
    <row r="69" spans="3:10" s="6" customFormat="1">
      <c r="C69" s="136" t="s">
        <v>396</v>
      </c>
      <c r="D69" s="20">
        <v>2</v>
      </c>
      <c r="E69" s="20">
        <v>1</v>
      </c>
      <c r="F69" s="180"/>
      <c r="G69" s="20"/>
      <c r="H69" s="20"/>
      <c r="I69"/>
      <c r="J69"/>
    </row>
    <row r="70" spans="3:10" s="6" customFormat="1" outlineLevel="1">
      <c r="C70" s="136" t="s">
        <v>545</v>
      </c>
      <c r="D70" s="20">
        <v>2</v>
      </c>
      <c r="E70" s="20">
        <v>1</v>
      </c>
      <c r="F70" s="180"/>
      <c r="G70" s="20"/>
      <c r="H70" s="20"/>
      <c r="I70"/>
      <c r="J70"/>
    </row>
    <row r="71" spans="3:10" s="6" customFormat="1" outlineLevel="1">
      <c r="C71" s="136" t="s">
        <v>546</v>
      </c>
      <c r="D71" s="20">
        <v>2</v>
      </c>
      <c r="E71" s="20">
        <v>0</v>
      </c>
      <c r="F71" s="180"/>
      <c r="G71" s="20"/>
      <c r="H71" s="20"/>
      <c r="I71"/>
      <c r="J71"/>
    </row>
    <row r="72" spans="3:10" s="6" customFormat="1" outlineLevel="1">
      <c r="C72" s="135" t="s">
        <v>465</v>
      </c>
      <c r="D72" s="24">
        <v>6</v>
      </c>
      <c r="E72" s="24">
        <v>3</v>
      </c>
      <c r="F72" s="180"/>
      <c r="G72" s="24"/>
      <c r="H72" s="24"/>
      <c r="I72"/>
      <c r="J72"/>
    </row>
    <row r="73" spans="3:10" s="6" customFormat="1" outlineLevel="1">
      <c r="C73" s="136" t="s">
        <v>508</v>
      </c>
      <c r="D73" s="20">
        <v>2</v>
      </c>
      <c r="E73" s="20">
        <v>2</v>
      </c>
      <c r="F73" s="180"/>
      <c r="G73" s="20"/>
      <c r="H73" s="20"/>
      <c r="I73"/>
      <c r="J73"/>
    </row>
    <row r="74" spans="3:10" s="6" customFormat="1">
      <c r="C74" s="136" t="s">
        <v>584</v>
      </c>
      <c r="D74" s="20">
        <v>2</v>
      </c>
      <c r="E74" s="20">
        <v>0</v>
      </c>
      <c r="F74" s="180"/>
      <c r="G74" s="20"/>
      <c r="H74" s="20"/>
      <c r="I74"/>
      <c r="J74"/>
    </row>
    <row r="75" spans="3:10" s="6" customFormat="1" outlineLevel="1">
      <c r="C75" s="136" t="s">
        <v>395</v>
      </c>
      <c r="D75" s="20">
        <v>2</v>
      </c>
      <c r="E75" s="20">
        <v>0.5</v>
      </c>
      <c r="F75" s="180"/>
      <c r="G75" s="20"/>
      <c r="H75" s="20"/>
      <c r="I75"/>
      <c r="J75"/>
    </row>
    <row r="76" spans="3:10" s="6" customFormat="1" outlineLevel="1">
      <c r="C76" s="135" t="s">
        <v>557</v>
      </c>
      <c r="D76" s="24">
        <v>5</v>
      </c>
      <c r="E76" s="24">
        <v>2</v>
      </c>
      <c r="F76" s="180"/>
      <c r="G76" s="24"/>
      <c r="H76" s="24"/>
      <c r="I76"/>
      <c r="J76"/>
    </row>
    <row r="77" spans="3:10" s="6" customFormat="1">
      <c r="C77" s="136" t="s">
        <v>509</v>
      </c>
      <c r="D77" s="20">
        <v>3</v>
      </c>
      <c r="E77" s="20">
        <v>1</v>
      </c>
      <c r="F77" s="180"/>
      <c r="G77" s="20"/>
      <c r="H77" s="20"/>
      <c r="I77"/>
      <c r="J77"/>
    </row>
    <row r="78" spans="3:10" s="6" customFormat="1" outlineLevel="1">
      <c r="C78" s="136" t="s">
        <v>397</v>
      </c>
      <c r="D78" s="20">
        <v>2</v>
      </c>
      <c r="E78" s="20">
        <v>0.5</v>
      </c>
      <c r="F78" s="180"/>
      <c r="G78" s="20"/>
      <c r="H78" s="20"/>
      <c r="I78"/>
      <c r="J78"/>
    </row>
    <row r="79" spans="3:10" s="6" customFormat="1" outlineLevel="1">
      <c r="C79" s="135" t="s">
        <v>667</v>
      </c>
      <c r="D79" s="24">
        <v>3</v>
      </c>
      <c r="E79" s="24">
        <v>1</v>
      </c>
      <c r="F79" s="180"/>
      <c r="G79" s="24"/>
      <c r="H79" s="24"/>
      <c r="I79"/>
      <c r="J79"/>
    </row>
    <row r="80" spans="3:10" s="6" customFormat="1" outlineLevel="1">
      <c r="C80" s="136" t="s">
        <v>398</v>
      </c>
      <c r="D80" s="20">
        <v>1</v>
      </c>
      <c r="E80" s="20">
        <v>0</v>
      </c>
      <c r="F80" s="180"/>
      <c r="G80" s="20"/>
      <c r="H80" s="20"/>
      <c r="I80"/>
      <c r="J80"/>
    </row>
    <row r="81" spans="3:10" outlineLevel="1">
      <c r="C81" s="136" t="s">
        <v>556</v>
      </c>
      <c r="D81" s="20">
        <v>1</v>
      </c>
      <c r="E81" s="20">
        <v>0</v>
      </c>
      <c r="F81" s="180"/>
      <c r="G81" s="20"/>
      <c r="H81" s="20"/>
    </row>
    <row r="82" spans="3:10" s="6" customFormat="1" outlineLevel="1">
      <c r="C82" s="138" t="s">
        <v>399</v>
      </c>
      <c r="D82" s="128">
        <v>1</v>
      </c>
      <c r="E82" s="128">
        <v>1</v>
      </c>
      <c r="F82" s="180"/>
      <c r="G82" s="128"/>
      <c r="H82" s="128"/>
      <c r="I82"/>
      <c r="J82"/>
    </row>
    <row r="83" spans="3:10" s="6" customFormat="1">
      <c r="C83" s="135" t="s">
        <v>552</v>
      </c>
      <c r="D83" s="24">
        <v>3</v>
      </c>
      <c r="E83" s="24">
        <v>0</v>
      </c>
      <c r="F83" s="180"/>
      <c r="G83" s="24"/>
      <c r="H83" s="24"/>
      <c r="I83"/>
      <c r="J83"/>
    </row>
    <row r="84" spans="3:10" s="6" customFormat="1" outlineLevel="1">
      <c r="C84" s="136" t="s">
        <v>552</v>
      </c>
      <c r="D84" s="20">
        <v>2</v>
      </c>
      <c r="E84" s="20">
        <v>0</v>
      </c>
      <c r="F84" s="180"/>
      <c r="G84" s="20"/>
      <c r="H84" s="20"/>
      <c r="I84"/>
      <c r="J84"/>
    </row>
    <row r="85" spans="3:10" s="6" customFormat="1" outlineLevel="1">
      <c r="C85" s="138" t="s">
        <v>551</v>
      </c>
      <c r="D85" s="20">
        <v>1</v>
      </c>
      <c r="E85" s="20">
        <v>0</v>
      </c>
      <c r="F85" s="248"/>
      <c r="G85" s="20"/>
      <c r="H85" s="20"/>
      <c r="I85"/>
      <c r="J85"/>
    </row>
    <row r="86" spans="3:10" s="6" customFormat="1" outlineLevel="1">
      <c r="C86" s="135" t="s">
        <v>585</v>
      </c>
      <c r="D86" s="24">
        <v>3</v>
      </c>
      <c r="E86" s="24">
        <v>0</v>
      </c>
      <c r="F86" s="248"/>
      <c r="G86" s="24"/>
      <c r="H86" s="24"/>
      <c r="I86"/>
      <c r="J86"/>
    </row>
    <row r="87" spans="3:10" s="6" customFormat="1" ht="15.75" outlineLevel="1" thickBot="1">
      <c r="C87" s="139" t="s">
        <v>586</v>
      </c>
      <c r="D87" s="129">
        <v>3</v>
      </c>
      <c r="E87" s="129">
        <v>0</v>
      </c>
      <c r="F87" s="249"/>
      <c r="G87" s="129"/>
      <c r="H87" s="129"/>
      <c r="I87"/>
      <c r="J87"/>
    </row>
    <row r="88" spans="3:10" s="6" customFormat="1" outlineLevel="1">
      <c r="C88"/>
      <c r="D88"/>
      <c r="E88" t="s">
        <v>819</v>
      </c>
      <c r="F88"/>
      <c r="G88"/>
      <c r="H88"/>
      <c r="I88"/>
      <c r="J88"/>
    </row>
    <row r="89" spans="3:10" ht="15.75" thickBot="1"/>
    <row r="90" spans="3:10" ht="15.75" thickBot="1">
      <c r="C90" s="6" t="e">
        <f>MAX(#REF!)</f>
        <v>#REF!</v>
      </c>
      <c r="D90" s="40" t="e">
        <f>C90/H90</f>
        <v>#REF!</v>
      </c>
      <c r="E90" s="40"/>
      <c r="F90" s="6" t="e">
        <f>HLOOKUP(C90,#REF!,2,FALSE)</f>
        <v>#REF!</v>
      </c>
      <c r="H90" s="27" t="e">
        <f>H68+H55+H34+H23+H4</f>
        <v>#VALUE!</v>
      </c>
    </row>
    <row r="91" spans="3:10" s="6" customFormat="1" ht="14.25" customHeight="1">
      <c r="H91" s="7" t="s">
        <v>2</v>
      </c>
    </row>
  </sheetData>
  <customSheetViews>
    <customSheetView guid="{52A26A5D-FD00-480B-943F-DB06B537D6D8}" scale="75">
      <selection activeCell="B35" sqref="B35"/>
      <pageMargins left="0.7" right="0.7" top="0.75" bottom="0.75" header="0.3" footer="0.3"/>
      <pageSetup orientation="portrait" r:id="rId1"/>
    </customSheetView>
    <customSheetView guid="{EF22FA0B-F747-41C1-93DE-56651BBC6020}" scale="75" state="hidden" topLeftCell="B1">
      <pane xSplit="2" topLeftCell="D1" activePane="topRight" state="frozen"/>
      <selection pane="topRight" activeCell="G24" sqref="G24"/>
      <pageMargins left="0.7" right="0.7" top="0.75" bottom="0.75" header="0.3" footer="0.3"/>
      <pageSetup orientation="portrait" r:id="rId2"/>
    </customSheetView>
  </customSheetViews>
  <mergeCells count="2">
    <mergeCell ref="C3:H3"/>
    <mergeCell ref="K4:N4"/>
  </mergeCells>
  <pageMargins left="0.7" right="0.7" top="0.75" bottom="0.75" header="0.3" footer="0.3"/>
  <pageSetup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17</vt:i4>
      </vt:variant>
    </vt:vector>
  </HeadingPairs>
  <TitlesOfParts>
    <vt:vector size="24" baseType="lpstr">
      <vt:lpstr>Introduction</vt:lpstr>
      <vt:lpstr>Local government operations</vt:lpstr>
      <vt:lpstr> Community-wide initiatives</vt:lpstr>
      <vt:lpstr>Buildings policies</vt:lpstr>
      <vt:lpstr>Energy and water utilities</vt:lpstr>
      <vt:lpstr>Transportation policies</vt:lpstr>
      <vt:lpstr>Analysis</vt:lpstr>
      <vt:lpstr>Baseline_emissions_energy_use</vt:lpstr>
      <vt:lpstr>EE_Current_emissions</vt:lpstr>
      <vt:lpstr>EE_recent_year_of_emissions</vt:lpstr>
      <vt:lpstr>EE_Total_percent_change</vt:lpstr>
      <vt:lpstr>Emissions_energy_use_in_above_year</vt:lpstr>
      <vt:lpstr>GHG_adoptionyear_emissions</vt:lpstr>
      <vt:lpstr>GHG_Baseline_data</vt:lpstr>
      <vt:lpstr>GHG_emissions_D18</vt:lpstr>
      <vt:lpstr>GHG_recent_year</vt:lpstr>
      <vt:lpstr>GHG_Total_percent_change</vt:lpstr>
      <vt:lpstr>GHG_Yearofadoption</vt:lpstr>
      <vt:lpstr>GHGTarget_percentage</vt:lpstr>
      <vt:lpstr>GHGTargetYear</vt:lpstr>
      <vt:lpstr>Goal_adoption_year_or_most_recent_year_of_available_data</vt:lpstr>
      <vt:lpstr>Nearest_target_year</vt:lpstr>
      <vt:lpstr>'Local government operations'!Print_Area</vt:lpstr>
      <vt:lpstr>Reduction_target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ACEEE</dc:creator>
  <cp:lastModifiedBy>Tyler Bailey</cp:lastModifiedBy>
  <cp:lastPrinted>2017-08-08T19:17:26Z</cp:lastPrinted>
  <dcterms:created xsi:type="dcterms:W3CDTF">2013-07-03T19:11:46Z</dcterms:created>
  <dcterms:modified xsi:type="dcterms:W3CDTF">2017-08-22T20:42:56Z</dcterms:modified>
</cp:coreProperties>
</file>